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l_esso_cocoainitiative_org/Documents/Documents/DAO 2025/"/>
    </mc:Choice>
  </mc:AlternateContent>
  <xr:revisionPtr revIDLastSave="16" documentId="8_{8004F3EC-DAC2-4B6B-B7E5-96170052CA4D}" xr6:coauthVersionLast="47" xr6:coauthVersionMax="47" xr10:uidLastSave="{7B2EC4FE-425C-4B2F-B917-89C7ABDF0D45}"/>
  <bookViews>
    <workbookView xWindow="-108" yWindow="-108" windowWidth="23256" windowHeight="12576" tabRatio="961" activeTab="6" xr2:uid="{00000000-000D-0000-FFFF-FFFF00000000}"/>
  </bookViews>
  <sheets>
    <sheet name="REHA EPP MEDIBLY 1" sheetId="45" r:id="rId1"/>
    <sheet name="DQE 3 cls + bureau " sheetId="36" r:id="rId2"/>
    <sheet name="DQE 3 cls" sheetId="40" r:id="rId3"/>
    <sheet name="DQE cantine" sheetId="37" r:id="rId4"/>
    <sheet name="Achèvement latrine 8 cabines" sheetId="46" r:id="rId5"/>
    <sheet name=" aménagement aire de jeux" sheetId="47" r:id="rId6"/>
    <sheet name="Recap" sheetId="39" r:id="rId7"/>
  </sheets>
  <definedNames>
    <definedName name="capinit" localSheetId="4">#REF!</definedName>
    <definedName name="capinit">#REF!</definedName>
    <definedName name="Cf" localSheetId="4">#REF!</definedName>
    <definedName name="Cf">#REF!</definedName>
    <definedName name="cgp" localSheetId="4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5">' aménagement aire de jeux'!$A$1:$F$19</definedName>
    <definedName name="_xlnm.Print_Area" localSheetId="4">'Achèvement latrine 8 cabines'!$A$1:$F$119</definedName>
    <definedName name="_xlnm.Print_Area" localSheetId="2">'DQE 3 cls'!$A$1:$F$115</definedName>
    <definedName name="_xlnm.Print_Area" localSheetId="1">'DQE 3 cls + bureau '!$A$1:$F$126</definedName>
    <definedName name="_xlnm.Print_Area" localSheetId="3">'DQE cantine'!$A$1:$F$134</definedName>
    <definedName name="_xlnm.Print_Area" localSheetId="6">Recap!$A$1:$B$19</definedName>
    <definedName name="_xlnm.Print_Area" localSheetId="0">'REHA EPP MEDIBLY 1'!$A$1:$F$398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4" i="45" l="1"/>
  <c r="F392" i="45"/>
  <c r="B14" i="39"/>
  <c r="B16" i="39"/>
  <c r="D10" i="47"/>
  <c r="F10" i="47" s="1"/>
  <c r="F11" i="47"/>
  <c r="D13" i="47"/>
  <c r="F12" i="47"/>
  <c r="F13" i="47"/>
  <c r="F15" i="47" l="1"/>
  <c r="F19" i="47" s="1"/>
  <c r="F113" i="46" l="1"/>
  <c r="D68" i="46"/>
  <c r="F68" i="46" s="1"/>
  <c r="F71" i="46" s="1"/>
  <c r="D28" i="46"/>
  <c r="D30" i="46" s="1"/>
  <c r="F30" i="46" s="1"/>
  <c r="F8" i="46"/>
  <c r="F10" i="46" s="1"/>
  <c r="F12" i="46" s="1"/>
  <c r="F9" i="46"/>
  <c r="F18" i="46"/>
  <c r="F20" i="46"/>
  <c r="D21" i="46"/>
  <c r="F21" i="46" s="1"/>
  <c r="D22" i="46"/>
  <c r="F22" i="46"/>
  <c r="F23" i="46"/>
  <c r="F25" i="46"/>
  <c r="D26" i="46"/>
  <c r="F26" i="46"/>
  <c r="F31" i="46"/>
  <c r="F33" i="46"/>
  <c r="F35" i="46"/>
  <c r="D36" i="46"/>
  <c r="F36" i="46" s="1"/>
  <c r="D37" i="46"/>
  <c r="F37" i="46"/>
  <c r="D41" i="46"/>
  <c r="F41" i="46" s="1"/>
  <c r="F39" i="46"/>
  <c r="D40" i="46"/>
  <c r="F40" i="46"/>
  <c r="F43" i="46"/>
  <c r="F44" i="46"/>
  <c r="D45" i="46"/>
  <c r="F45" i="46"/>
  <c r="F48" i="46"/>
  <c r="F50" i="46"/>
  <c r="F56" i="46"/>
  <c r="F57" i="46" s="1"/>
  <c r="F60" i="46"/>
  <c r="F61" i="46" s="1"/>
  <c r="F66" i="46"/>
  <c r="F70" i="46"/>
  <c r="F75" i="46"/>
  <c r="F76" i="46"/>
  <c r="F81" i="46"/>
  <c r="F82" i="46"/>
  <c r="F83" i="46" s="1"/>
  <c r="F88" i="46"/>
  <c r="F89" i="46"/>
  <c r="F91" i="46" s="1"/>
  <c r="F90" i="46"/>
  <c r="D95" i="46"/>
  <c r="F95" i="46"/>
  <c r="D96" i="46"/>
  <c r="F96" i="46"/>
  <c r="F97" i="46"/>
  <c r="D101" i="46"/>
  <c r="F101" i="46"/>
  <c r="D102" i="46"/>
  <c r="F102" i="46" s="1"/>
  <c r="D104" i="46"/>
  <c r="F104" i="46" s="1"/>
  <c r="D106" i="46"/>
  <c r="F106" i="46"/>
  <c r="F107" i="46" l="1"/>
  <c r="D29" i="46"/>
  <c r="F29" i="46" s="1"/>
  <c r="F28" i="46"/>
  <c r="F51" i="46"/>
  <c r="F53" i="46" s="1"/>
  <c r="F109" i="46" s="1"/>
  <c r="F111" i="46" s="1"/>
  <c r="D386" i="45" l="1"/>
  <c r="D387" i="45" s="1"/>
  <c r="F387" i="45" s="1"/>
  <c r="D384" i="45"/>
  <c r="F384" i="45" s="1"/>
  <c r="D377" i="45"/>
  <c r="F377" i="45" s="1"/>
  <c r="D375" i="45"/>
  <c r="F375" i="45" s="1"/>
  <c r="D374" i="45"/>
  <c r="F374" i="45" s="1"/>
  <c r="D347" i="45"/>
  <c r="D348" i="45" s="1"/>
  <c r="F348" i="45" s="1"/>
  <c r="D326" i="45"/>
  <c r="F326" i="45" s="1"/>
  <c r="D322" i="45"/>
  <c r="F322" i="45" s="1"/>
  <c r="D303" i="45"/>
  <c r="F303" i="45" s="1"/>
  <c r="D301" i="45"/>
  <c r="F301" i="45" s="1"/>
  <c r="D286" i="45"/>
  <c r="F286" i="45" s="1"/>
  <c r="D285" i="45"/>
  <c r="F285" i="45" s="1"/>
  <c r="D283" i="45"/>
  <c r="F283" i="45" s="1"/>
  <c r="D256" i="45"/>
  <c r="D243" i="45"/>
  <c r="D244" i="45" s="1"/>
  <c r="F244" i="45" s="1"/>
  <c r="D239" i="45"/>
  <c r="D240" i="45"/>
  <c r="F239" i="45"/>
  <c r="D238" i="45"/>
  <c r="F238" i="45" s="1"/>
  <c r="D50" i="45"/>
  <c r="D52" i="45" s="1"/>
  <c r="F52" i="45" s="1"/>
  <c r="D48" i="45"/>
  <c r="F48" i="45" s="1"/>
  <c r="D46" i="45"/>
  <c r="D45" i="45"/>
  <c r="F45" i="45" s="1"/>
  <c r="D236" i="45"/>
  <c r="F236" i="45" s="1"/>
  <c r="D234" i="45"/>
  <c r="F234" i="45" s="1"/>
  <c r="D233" i="45"/>
  <c r="F233" i="45" s="1"/>
  <c r="D232" i="45"/>
  <c r="F232" i="45" s="1"/>
  <c r="D227" i="45"/>
  <c r="D191" i="45"/>
  <c r="F191" i="45" s="1"/>
  <c r="D189" i="45"/>
  <c r="F189" i="45" s="1"/>
  <c r="D182" i="45"/>
  <c r="F182" i="45" s="1"/>
  <c r="D180" i="45"/>
  <c r="F180" i="45" s="1"/>
  <c r="D179" i="45"/>
  <c r="F179" i="45" s="1"/>
  <c r="D155" i="45"/>
  <c r="D156" i="45" s="1"/>
  <c r="D134" i="45"/>
  <c r="F134" i="45" s="1"/>
  <c r="D128" i="45"/>
  <c r="F123" i="45"/>
  <c r="F117" i="45"/>
  <c r="D71" i="45"/>
  <c r="F71" i="45" s="1"/>
  <c r="D63" i="45"/>
  <c r="D65" i="45" s="1"/>
  <c r="F65" i="45" s="1"/>
  <c r="D110" i="45"/>
  <c r="F110" i="45" s="1"/>
  <c r="D108" i="45"/>
  <c r="F108" i="45" s="1"/>
  <c r="D43" i="45"/>
  <c r="F43" i="45" s="1"/>
  <c r="D41" i="45"/>
  <c r="F41" i="45" s="1"/>
  <c r="D40" i="45"/>
  <c r="F40" i="45" s="1"/>
  <c r="D39" i="45"/>
  <c r="F39" i="45" s="1"/>
  <c r="D34" i="45"/>
  <c r="D37" i="45" s="1"/>
  <c r="F37" i="45" s="1"/>
  <c r="F381" i="45"/>
  <c r="F370" i="45"/>
  <c r="F369" i="45"/>
  <c r="F368" i="45"/>
  <c r="F367" i="45"/>
  <c r="F362" i="45"/>
  <c r="F361" i="45"/>
  <c r="F359" i="45"/>
  <c r="F356" i="45"/>
  <c r="F355" i="45"/>
  <c r="F353" i="45"/>
  <c r="F352" i="45"/>
  <c r="F345" i="45"/>
  <c r="F344" i="45"/>
  <c r="F341" i="45"/>
  <c r="F340" i="45"/>
  <c r="F337" i="45"/>
  <c r="F336" i="45"/>
  <c r="F335" i="45"/>
  <c r="F334" i="45"/>
  <c r="F330" i="45"/>
  <c r="F331" i="45" s="1"/>
  <c r="F324" i="45"/>
  <c r="F317" i="45"/>
  <c r="F316" i="45"/>
  <c r="F315" i="45"/>
  <c r="F314" i="45"/>
  <c r="F313" i="45"/>
  <c r="F312" i="45"/>
  <c r="F311" i="45"/>
  <c r="F310" i="45"/>
  <c r="F305" i="45"/>
  <c r="F304" i="45"/>
  <c r="F302" i="45"/>
  <c r="F299" i="45"/>
  <c r="F298" i="45"/>
  <c r="F297" i="45"/>
  <c r="F296" i="45"/>
  <c r="F295" i="45"/>
  <c r="F294" i="45"/>
  <c r="F293" i="45"/>
  <c r="F292" i="45"/>
  <c r="F291" i="45"/>
  <c r="D288" i="45"/>
  <c r="D289" i="45" s="1"/>
  <c r="F289" i="45" s="1"/>
  <c r="F284" i="45"/>
  <c r="F281" i="45"/>
  <c r="F280" i="45"/>
  <c r="F279" i="45"/>
  <c r="F277" i="45"/>
  <c r="F276" i="45"/>
  <c r="F275" i="45"/>
  <c r="F274" i="45"/>
  <c r="F273" i="45"/>
  <c r="F271" i="45"/>
  <c r="F270" i="45"/>
  <c r="F268" i="45"/>
  <c r="F267" i="45"/>
  <c r="F265" i="45"/>
  <c r="F262" i="45"/>
  <c r="F261" i="45"/>
  <c r="F260" i="45"/>
  <c r="F259" i="45"/>
  <c r="D258" i="45"/>
  <c r="F258" i="45" s="1"/>
  <c r="F253" i="45"/>
  <c r="F252" i="45"/>
  <c r="F251" i="45"/>
  <c r="F250" i="45"/>
  <c r="D249" i="45"/>
  <c r="F249" i="45" s="1"/>
  <c r="D248" i="45"/>
  <c r="F248" i="45" s="1"/>
  <c r="F247" i="45"/>
  <c r="F241" i="45"/>
  <c r="D230" i="45"/>
  <c r="F230" i="45" s="1"/>
  <c r="F225" i="45"/>
  <c r="D224" i="45"/>
  <c r="F224" i="45" s="1"/>
  <c r="D223" i="45"/>
  <c r="F223" i="45" s="1"/>
  <c r="F222" i="45"/>
  <c r="D220" i="45"/>
  <c r="F220" i="45" s="1"/>
  <c r="D219" i="45"/>
  <c r="F219" i="45" s="1"/>
  <c r="F218" i="45"/>
  <c r="F216" i="45"/>
  <c r="D215" i="45"/>
  <c r="F215" i="45" s="1"/>
  <c r="F214" i="45"/>
  <c r="F212" i="45"/>
  <c r="F208" i="45"/>
  <c r="F207" i="45"/>
  <c r="F206" i="45"/>
  <c r="F202" i="45"/>
  <c r="F203" i="45" s="1"/>
  <c r="F186" i="45"/>
  <c r="F175" i="45"/>
  <c r="F176" i="45" s="1"/>
  <c r="F170" i="45"/>
  <c r="F169" i="45"/>
  <c r="F167" i="45"/>
  <c r="F164" i="45"/>
  <c r="F163" i="45"/>
  <c r="F161" i="45"/>
  <c r="F160" i="45"/>
  <c r="F153" i="45"/>
  <c r="F152" i="45"/>
  <c r="F149" i="45"/>
  <c r="F148" i="45"/>
  <c r="F145" i="45"/>
  <c r="F144" i="45"/>
  <c r="F143" i="45"/>
  <c r="F142" i="45"/>
  <c r="F138" i="45"/>
  <c r="F139" i="45" s="1"/>
  <c r="F132" i="45"/>
  <c r="F130" i="45"/>
  <c r="F128" i="45"/>
  <c r="F122" i="45"/>
  <c r="F121" i="45"/>
  <c r="F120" i="45"/>
  <c r="F119" i="45"/>
  <c r="F118" i="45"/>
  <c r="F116" i="45"/>
  <c r="F111" i="45"/>
  <c r="F109" i="45"/>
  <c r="F106" i="45"/>
  <c r="F105" i="45"/>
  <c r="F104" i="45"/>
  <c r="F103" i="45"/>
  <c r="F102" i="45"/>
  <c r="F101" i="45"/>
  <c r="F100" i="45"/>
  <c r="F99" i="45"/>
  <c r="F98" i="45"/>
  <c r="D95" i="45"/>
  <c r="D97" i="45" s="1"/>
  <c r="F97" i="45" s="1"/>
  <c r="D93" i="45"/>
  <c r="F93" i="45" s="1"/>
  <c r="D92" i="45"/>
  <c r="F92" i="45" s="1"/>
  <c r="D91" i="45"/>
  <c r="F91" i="45" s="1"/>
  <c r="D90" i="45"/>
  <c r="F90" i="45" s="1"/>
  <c r="F88" i="45"/>
  <c r="F87" i="45"/>
  <c r="F86" i="45"/>
  <c r="F84" i="45"/>
  <c r="F83" i="45"/>
  <c r="F82" i="45"/>
  <c r="F81" i="45"/>
  <c r="F80" i="45"/>
  <c r="F78" i="45"/>
  <c r="F77" i="45"/>
  <c r="F75" i="45"/>
  <c r="F74" i="45"/>
  <c r="F72" i="45"/>
  <c r="F69" i="45"/>
  <c r="F68" i="45"/>
  <c r="F67" i="45"/>
  <c r="F66" i="45"/>
  <c r="F60" i="45"/>
  <c r="F59" i="45"/>
  <c r="F58" i="45"/>
  <c r="F57" i="45"/>
  <c r="D56" i="45"/>
  <c r="F56" i="45" s="1"/>
  <c r="D55" i="45"/>
  <c r="F55" i="45" s="1"/>
  <c r="F54" i="45"/>
  <c r="F47" i="45"/>
  <c r="F46" i="45"/>
  <c r="F32" i="45"/>
  <c r="D31" i="45"/>
  <c r="F31" i="45" s="1"/>
  <c r="D30" i="45"/>
  <c r="F30" i="45" s="1"/>
  <c r="F29" i="45"/>
  <c r="D27" i="45"/>
  <c r="F27" i="45" s="1"/>
  <c r="D26" i="45"/>
  <c r="F26" i="45" s="1"/>
  <c r="F25" i="45"/>
  <c r="F23" i="45"/>
  <c r="D22" i="45"/>
  <c r="F22" i="45" s="1"/>
  <c r="F21" i="45"/>
  <c r="F19" i="45"/>
  <c r="F15" i="45"/>
  <c r="F14" i="45"/>
  <c r="F13" i="45"/>
  <c r="F9" i="45"/>
  <c r="F10" i="45" s="1"/>
  <c r="F371" i="45" l="1"/>
  <c r="F386" i="45"/>
  <c r="F347" i="45"/>
  <c r="F349" i="45" s="1"/>
  <c r="D378" i="45"/>
  <c r="F378" i="45" s="1"/>
  <c r="D192" i="45"/>
  <c r="F192" i="45" s="1"/>
  <c r="D245" i="45"/>
  <c r="F245" i="45" s="1"/>
  <c r="F50" i="45"/>
  <c r="F240" i="45"/>
  <c r="D290" i="45"/>
  <c r="F290" i="45" s="1"/>
  <c r="F327" i="45"/>
  <c r="F288" i="45"/>
  <c r="F16" i="45"/>
  <c r="F363" i="45"/>
  <c r="F95" i="45"/>
  <c r="F124" i="45"/>
  <c r="F256" i="45"/>
  <c r="D257" i="45"/>
  <c r="F257" i="45" s="1"/>
  <c r="F150" i="45"/>
  <c r="F171" i="45"/>
  <c r="F209" i="45"/>
  <c r="F342" i="45"/>
  <c r="F135" i="45"/>
  <c r="F156" i="45"/>
  <c r="D183" i="45"/>
  <c r="F183" i="45" s="1"/>
  <c r="F318" i="45"/>
  <c r="F243" i="45"/>
  <c r="F227" i="45"/>
  <c r="D35" i="45"/>
  <c r="F35" i="45" s="1"/>
  <c r="D228" i="45"/>
  <c r="F228" i="45" s="1"/>
  <c r="D229" i="45"/>
  <c r="F229" i="45" s="1"/>
  <c r="F34" i="45"/>
  <c r="D51" i="45"/>
  <c r="F51" i="45" s="1"/>
  <c r="D96" i="45"/>
  <c r="F96" i="45" s="1"/>
  <c r="F63" i="45"/>
  <c r="F155" i="45"/>
  <c r="D36" i="45"/>
  <c r="F36" i="45" s="1"/>
  <c r="D64" i="45"/>
  <c r="F64" i="45" s="1"/>
  <c r="F388" i="45" l="1"/>
  <c r="F193" i="45"/>
  <c r="D264" i="45"/>
  <c r="F264" i="45" s="1"/>
  <c r="F306" i="45" s="1"/>
  <c r="F307" i="45" s="1"/>
  <c r="F157" i="45"/>
  <c r="F112" i="45"/>
  <c r="F113" i="45" s="1"/>
  <c r="F195" i="45" l="1"/>
  <c r="F390" i="45"/>
  <c r="B6" i="39" s="1"/>
  <c r="F121" i="36"/>
  <c r="F105" i="36"/>
  <c r="F104" i="36"/>
  <c r="D104" i="36"/>
  <c r="D102" i="36"/>
  <c r="F102" i="36" s="1"/>
  <c r="F101" i="36"/>
  <c r="F95" i="36" l="1"/>
  <c r="F93" i="36"/>
  <c r="F91" i="36"/>
  <c r="F90" i="36"/>
  <c r="F96" i="36" l="1"/>
  <c r="D36" i="37" l="1"/>
  <c r="D35" i="37"/>
  <c r="F35" i="37" s="1"/>
  <c r="F107" i="40"/>
  <c r="D107" i="40"/>
  <c r="F106" i="40"/>
  <c r="D106" i="40"/>
  <c r="D104" i="40"/>
  <c r="F104" i="40" s="1"/>
  <c r="F102" i="40"/>
  <c r="D102" i="40"/>
  <c r="F100" i="40"/>
  <c r="D100" i="40"/>
  <c r="D99" i="40"/>
  <c r="F99" i="40" s="1"/>
  <c r="F108" i="40" s="1"/>
  <c r="F110" i="40" s="1"/>
  <c r="F112" i="40" s="1"/>
  <c r="F93" i="40"/>
  <c r="F91" i="40"/>
  <c r="F94" i="40" s="1"/>
  <c r="F90" i="40"/>
  <c r="F85" i="40"/>
  <c r="F84" i="40"/>
  <c r="D78" i="40"/>
  <c r="F78" i="40" s="1"/>
  <c r="F76" i="40"/>
  <c r="F74" i="40"/>
  <c r="D74" i="40"/>
  <c r="F68" i="40"/>
  <c r="D67" i="40"/>
  <c r="F67" i="40" s="1"/>
  <c r="F69" i="40" s="1"/>
  <c r="F60" i="40"/>
  <c r="F59" i="40"/>
  <c r="D56" i="40"/>
  <c r="D57" i="40" s="1"/>
  <c r="F57" i="40" s="1"/>
  <c r="D55" i="40"/>
  <c r="F55" i="40" s="1"/>
  <c r="F54" i="40"/>
  <c r="D54" i="40"/>
  <c r="F53" i="40"/>
  <c r="D53" i="40"/>
  <c r="D52" i="40"/>
  <c r="F52" i="40" s="1"/>
  <c r="F50" i="40"/>
  <c r="F49" i="40"/>
  <c r="F48" i="40"/>
  <c r="F46" i="40"/>
  <c r="D46" i="40"/>
  <c r="D43" i="40"/>
  <c r="D44" i="40" s="1"/>
  <c r="F44" i="40" s="1"/>
  <c r="D41" i="40"/>
  <c r="F41" i="40" s="1"/>
  <c r="D39" i="40"/>
  <c r="F39" i="40" s="1"/>
  <c r="D38" i="40"/>
  <c r="F38" i="40" s="1"/>
  <c r="D36" i="40"/>
  <c r="F36" i="40" s="1"/>
  <c r="F35" i="40"/>
  <c r="D35" i="40"/>
  <c r="D34" i="40"/>
  <c r="F34" i="40" s="1"/>
  <c r="D32" i="40"/>
  <c r="F32" i="40" s="1"/>
  <c r="D31" i="40"/>
  <c r="F31" i="40" s="1"/>
  <c r="D29" i="40"/>
  <c r="D40" i="40" s="1"/>
  <c r="F40" i="40" s="1"/>
  <c r="D28" i="40"/>
  <c r="F28" i="40" s="1"/>
  <c r="D27" i="40"/>
  <c r="F27" i="40" s="1"/>
  <c r="D22" i="40"/>
  <c r="F22" i="40" s="1"/>
  <c r="D21" i="40"/>
  <c r="F21" i="40" s="1"/>
  <c r="F20" i="40"/>
  <c r="D20" i="40"/>
  <c r="D19" i="40"/>
  <c r="D30" i="40" s="1"/>
  <c r="F30" i="40" s="1"/>
  <c r="F13" i="40"/>
  <c r="F12" i="40"/>
  <c r="F11" i="40"/>
  <c r="F14" i="40" s="1"/>
  <c r="F23" i="40" l="1"/>
  <c r="F79" i="40"/>
  <c r="F43" i="40"/>
  <c r="F56" i="40"/>
  <c r="F29" i="40"/>
  <c r="D26" i="40"/>
  <c r="F26" i="40" s="1"/>
  <c r="F61" i="40" s="1"/>
  <c r="F62" i="40" l="1"/>
  <c r="F114" i="40" s="1"/>
  <c r="B10" i="39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14" i="36" s="1"/>
  <c r="F79" i="36" l="1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74" i="37"/>
  <c r="F76" i="37" s="1"/>
  <c r="F130" i="37" s="1"/>
  <c r="F123" i="36" l="1"/>
  <c r="F132" i="37"/>
  <c r="E134" i="37" s="1"/>
  <c r="B12" i="39" s="1"/>
  <c r="F125" i="36" l="1"/>
  <c r="B8" i="39"/>
  <c r="B18" i="39" l="1"/>
</calcChain>
</file>

<file path=xl/sharedStrings.xml><?xml version="1.0" encoding="utf-8"?>
<sst xmlns="http://schemas.openxmlformats.org/spreadsheetml/2006/main" count="1884" uniqueCount="676">
  <si>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</si>
  <si>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</si>
  <si>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</si>
  <si>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</si>
  <si>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</si>
  <si>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</si>
  <si>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</si>
  <si>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</si>
  <si>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</si>
  <si>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</si>
  <si>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</si>
  <si>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</si>
  <si>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</si>
  <si>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</si>
  <si>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</si>
  <si>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</si>
  <si>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</si>
  <si>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</si>
  <si>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</si>
  <si>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</si>
  <si>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</si>
  <si>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</si>
  <si>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</si>
  <si>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</si>
  <si>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</si>
  <si>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</si>
  <si>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</si>
  <si>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</si>
  <si>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</si>
  <si>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</si>
  <si>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</si>
  <si>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</si>
  <si>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</si>
  <si>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</si>
  <si>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</si>
  <si>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</si>
  <si>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</si>
  <si>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</si>
  <si>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</si>
  <si>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</si>
  <si>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</si>
  <si>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</si>
  <si>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</si>
  <si>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</si>
  <si>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</si>
  <si>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</si>
  <si>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</si>
  <si>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</si>
  <si>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</si>
  <si>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</si>
  <si>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</si>
  <si>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</si>
  <si>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</si>
  <si>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</si>
  <si>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</si>
  <si>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</si>
  <si>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</si>
  <si>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</si>
  <si>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</si>
  <si>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</si>
  <si>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</si>
  <si>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</si>
  <si>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</si>
  <si>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</si>
  <si>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</si>
  <si>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</si>
  <si>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</si>
  <si>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</si>
  <si>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</si>
  <si>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</si>
  <si>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</si>
  <si>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</si>
  <si>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</si>
  <si>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</si>
  <si>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</si>
  <si>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</si>
  <si>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</si>
  <si>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</si>
  <si>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</si>
  <si>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</si>
  <si>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</si>
  <si>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</si>
  <si>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</si>
  <si>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</si>
  <si>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</si>
  <si>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</si>
  <si>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</si>
  <si>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</si>
  <si>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</si>
  <si>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</si>
  <si>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</si>
  <si>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</si>
  <si>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</si>
  <si>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</si>
  <si>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</si>
  <si>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</si>
  <si>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</si>
  <si>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</si>
  <si>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</si>
  <si>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</si>
  <si>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</si>
  <si>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</si>
  <si>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</si>
  <si>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</si>
  <si>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</si>
  <si>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</si>
  <si>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</si>
  <si>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</si>
  <si>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</si>
  <si>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</si>
  <si>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</si>
  <si>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</si>
  <si>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</si>
  <si>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</si>
  <si>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</si>
  <si>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</si>
  <si>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</si>
  <si>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</si>
  <si>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</si>
  <si>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</si>
  <si>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</si>
  <si>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</si>
  <si>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</si>
  <si>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</si>
  <si>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</si>
  <si>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</si>
  <si>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</si>
  <si>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</si>
  <si>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</si>
  <si>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</si>
  <si>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</si>
  <si>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</si>
  <si>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</si>
  <si>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</si>
  <si>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</si>
  <si>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</si>
  <si>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</si>
  <si>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</si>
  <si>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</si>
  <si>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</si>
  <si>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</si>
  <si>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</si>
  <si>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</si>
  <si>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</si>
  <si>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</si>
  <si>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</si>
  <si>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</si>
  <si>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</si>
  <si>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</si>
  <si>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</si>
  <si>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</si>
  <si>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</si>
  <si>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</si>
  <si>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</si>
  <si>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</si>
  <si>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</si>
  <si>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</si>
  <si>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</si>
  <si>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</si>
  <si>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</si>
  <si>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</si>
  <si>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</si>
  <si>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</si>
  <si>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</si>
  <si>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</si>
  <si>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</si>
  <si>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</si>
  <si>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</si>
  <si>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</si>
  <si>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</si>
  <si>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</si>
  <si>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</si>
  <si>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</si>
  <si>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</si>
  <si>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</si>
  <si>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</si>
  <si>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</si>
  <si>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</si>
  <si>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</si>
  <si>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</si>
  <si>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</si>
  <si>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</si>
  <si>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</si>
  <si>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</si>
  <si>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</si>
  <si>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</si>
  <si>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</si>
  <si>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</si>
  <si>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</si>
  <si>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</si>
  <si>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</si>
  <si>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</si>
  <si>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</si>
  <si>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</si>
  <si>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</si>
  <si>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</si>
  <si>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</si>
  <si>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</si>
  <si>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</si>
  <si>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</si>
  <si>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</si>
  <si>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</si>
  <si>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</si>
  <si>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</si>
  <si>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</si>
  <si>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</si>
  <si>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</si>
  <si>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</si>
  <si>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</si>
  <si>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</si>
  <si>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</si>
  <si>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</si>
  <si>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</si>
  <si>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</si>
  <si>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</si>
  <si>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</si>
  <si>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</si>
  <si>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</si>
  <si>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</si>
  <si>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</si>
  <si>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</si>
  <si>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</si>
  <si>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</si>
  <si>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</si>
  <si>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</si>
  <si>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</si>
  <si>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</si>
  <si>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</si>
  <si>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</si>
  <si>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</si>
  <si>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</si>
  <si>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</si>
  <si>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</si>
  <si>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</si>
  <si>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</si>
  <si>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</si>
  <si>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</si>
  <si>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</si>
  <si>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</si>
  <si>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</si>
  <si>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</si>
  <si>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</si>
  <si>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</si>
  <si>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</si>
  <si>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</si>
  <si>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</si>
  <si>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</si>
  <si>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</si>
  <si>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</si>
  <si>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</si>
  <si>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</si>
  <si>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</si>
  <si>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</si>
  <si>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</si>
  <si>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</si>
  <si>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</si>
  <si>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</si>
  <si>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</si>
  <si>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</si>
  <si>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</si>
  <si>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</si>
  <si>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</si>
  <si>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</si>
  <si>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</si>
  <si>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</si>
  <si>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</si>
  <si>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</si>
  <si>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</si>
  <si>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</si>
  <si>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</si>
  <si>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</si>
  <si>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</si>
  <si>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</si>
  <si>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</si>
  <si>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</si>
  <si>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</si>
  <si>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</si>
  <si>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</si>
  <si>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</si>
  <si>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</si>
  <si>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TROIS SALLES  CLASSES + BUREAU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</si>
  <si>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</si>
  <si>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</si>
  <si>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</si>
  <si>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</si>
  <si>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- Tableau synoptique de 3,00 x 140 pour classes et bureau</t>
  </si>
  <si>
    <t>TOTAL 3 CLASSES + BUREAU</t>
  </si>
  <si>
    <t>TRAVAUX PRELIMINAIRES ET ASSAINISSEMENT</t>
  </si>
  <si>
    <t>1.2.1</t>
  </si>
  <si>
    <t>1.2.2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</si>
  <si>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</si>
  <si>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</si>
  <si>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</si>
  <si>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</si>
  <si>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</si>
  <si>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</si>
  <si>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</si>
  <si>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</si>
  <si>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</si>
  <si>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</si>
  <si>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</si>
  <si>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</si>
  <si>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</si>
  <si>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</si>
  <si>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</si>
  <si>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</si>
  <si>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</si>
  <si>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</si>
  <si>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</si>
  <si>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</si>
  <si>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</si>
  <si>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</si>
  <si>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</si>
  <si>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</si>
  <si>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</si>
  <si>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</si>
  <si>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</si>
  <si>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Panne de 8 x 8cm</t>
  </si>
  <si>
    <t>5.1.1.1</t>
  </si>
  <si>
    <t>5.1.2</t>
  </si>
  <si>
    <t>5.1.2.1</t>
  </si>
  <si>
    <t>5.1.4</t>
  </si>
  <si>
    <t>Acessoires de pose</t>
  </si>
  <si>
    <t>5.1.4.1</t>
  </si>
  <si>
    <t>Tire- fonds complets</t>
  </si>
  <si>
    <t>6.1</t>
  </si>
  <si>
    <t>6.1.1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</si>
  <si>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</si>
  <si>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</si>
  <si>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</si>
  <si>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</si>
  <si>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</si>
  <si>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</si>
  <si>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</si>
  <si>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</si>
  <si>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</si>
  <si>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</si>
  <si>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>9.1.1.2</t>
  </si>
  <si>
    <t xml:space="preserve"> - Peinture glycérophtalique sur portes métalliques</t>
  </si>
  <si>
    <t>Nettoyage et décapage du terrain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</si>
  <si>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</si>
  <si>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</si>
  <si>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</si>
  <si>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</si>
  <si>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</si>
  <si>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</si>
  <si>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</si>
  <si>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</si>
  <si>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</si>
  <si>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</si>
  <si>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</si>
  <si>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</si>
  <si>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</si>
  <si>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</si>
  <si>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CONSTRUCTION D'UN BATIMENT TROIS CLASSES + BUREAU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</si>
  <si>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</si>
  <si>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</si>
  <si>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</si>
  <si>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</si>
  <si>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</si>
  <si>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   CONSTRUCTION D'UN BATIMENT TROIS CLASSES 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</si>
  <si>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</si>
  <si>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 xml:space="preserve"> - Dallage au sol en béton armé dosé à 300 kg/m3</t>
  </si>
  <si>
    <t xml:space="preserve"> - Agglos creux de 15 cm d'épaisseur en BTC</t>
  </si>
  <si>
    <t>Tôle onduilée  ht= 40 cm</t>
  </si>
  <si>
    <t>Pour les salles de classe</t>
  </si>
  <si>
    <t>TOTAL 3 CLASSES</t>
  </si>
  <si>
    <t>TOTAL GENERAL 3 CLASSES HT</t>
  </si>
  <si>
    <t xml:space="preserve">CONSTRUCTION DE TROIS SALLES  CLASSES </t>
  </si>
  <si>
    <t>Porte métallique  90 x 220 pour classes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</si>
  <si>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</si>
  <si>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</si>
  <si>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</si>
  <si>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         * Enduits int. 1 face dosés à 250 kg/m3 </t>
  </si>
  <si>
    <t>2.1.1.5</t>
  </si>
  <si>
    <t xml:space="preserve">Chape ciment lissée  dosé à 300 kg/m3 </t>
  </si>
  <si>
    <t>ASSAINISSEMENT SECONDAIRE</t>
  </si>
  <si>
    <t xml:space="preserve"> * Dim. 60 x 90</t>
  </si>
  <si>
    <t>TOTAL ASSAINISSEMENT SECONDAIRE</t>
  </si>
  <si>
    <t>Coéfficient d'éloignement</t>
  </si>
  <si>
    <t xml:space="preserve">Nettoyage et décapage du terrain 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</si>
  <si>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</si>
  <si>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</si>
  <si>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</si>
  <si>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</si>
  <si>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</si>
  <si>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</si>
  <si>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</si>
  <si>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</si>
  <si>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</si>
  <si>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</si>
  <si>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7.4</t>
  </si>
  <si>
    <t>7.2.2</t>
  </si>
  <si>
    <t>7.2.3</t>
  </si>
  <si>
    <t>7.3.1</t>
  </si>
  <si>
    <t>7.3.2</t>
  </si>
  <si>
    <t>7.4.1</t>
  </si>
  <si>
    <t>7.4.2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</si>
  <si>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</si>
  <si>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</si>
  <si>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</si>
  <si>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</si>
  <si>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Placards et bibliothèques en maçonnerie des classes et bureaux (140 cm x 200 cm) avec dalette et étagères en BA</t>
  </si>
  <si>
    <t>- Tableau synoptique de 3,00 x 140 pour bueaur et classes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</si>
  <si>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</si>
  <si>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</si>
  <si>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</si>
  <si>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</si>
  <si>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</si>
  <si>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</si>
  <si>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</si>
  <si>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</si>
  <si>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</si>
  <si>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r>
      <t>N</t>
    </r>
    <r>
      <rPr>
        <b/>
        <sz val="12"/>
        <rFont val="Calibri"/>
        <family val="2"/>
      </rPr>
      <t>°</t>
    </r>
    <r>
      <rPr>
        <b/>
        <sz val="12"/>
        <rFont val="Arial"/>
        <family val="2"/>
      </rPr>
      <t xml:space="preserve"> D'ORD.</t>
    </r>
  </si>
  <si>
    <t>LOT 1 - TRAVAUX PRELIMINAIRES</t>
  </si>
  <si>
    <t xml:space="preserve"> - Installation de chantier</t>
  </si>
  <si>
    <t>f</t>
  </si>
  <si>
    <t>SOUS/TOTAL Travaux Preliminaires</t>
  </si>
  <si>
    <t>LOT 2 - GROS OEUVRES</t>
  </si>
  <si>
    <t xml:space="preserve"> - Fouilles en rigole pour terrasse 50 x 60 cm</t>
  </si>
  <si>
    <t>SOUS/TOTAL  des Terrassements</t>
  </si>
  <si>
    <t>FONDATION (terrasse à créer)</t>
  </si>
  <si>
    <t xml:space="preserve"> - Gros béton de semelle filante dosé à 350 kg/m3</t>
  </si>
  <si>
    <t>2.2.1.2.2</t>
  </si>
  <si>
    <t xml:space="preserve">         * Aciers Tors HA  40 kg/m3</t>
  </si>
  <si>
    <t>2.2.1.2.3</t>
  </si>
  <si>
    <t xml:space="preserve">         * Coffrage  2 m2/m3</t>
  </si>
  <si>
    <t xml:space="preserve"> - Amorce de poteaux 15x20 cm en BA dosé à 350 kg/m3 </t>
  </si>
  <si>
    <t xml:space="preserve"> - Chaînage bas en B.A dosé à 300 kg/m3</t>
  </si>
  <si>
    <t xml:space="preserve"> - Agglos pleins de 15</t>
  </si>
  <si>
    <t xml:space="preserve"> - Dallage au sol en béton armé dosé à 250 kg/m3</t>
  </si>
  <si>
    <t xml:space="preserve">         * démolition de dallage </t>
  </si>
  <si>
    <t>2.2.1.6.2</t>
  </si>
  <si>
    <t xml:space="preserve">         * Béton y/c compris chape bouchardée</t>
  </si>
  <si>
    <t>2.2.1.6.3</t>
  </si>
  <si>
    <t xml:space="preserve">         * Armature en treilli de fer diam.6, 3 kg/m²</t>
  </si>
  <si>
    <t>2.2.1.6.4</t>
  </si>
  <si>
    <t>2.2.1.7.1</t>
  </si>
  <si>
    <t xml:space="preserve">         * Bordure en agglo 10 ordinaire en mortier de ciment y compris fouilles, pose sur béton de propreté, enduit et peinture en façade arrière</t>
  </si>
  <si>
    <t>2.2.1.7.2</t>
  </si>
  <si>
    <t>2.2.1.7.3</t>
  </si>
  <si>
    <t xml:space="preserve"> - Bac à fleur en briques </t>
  </si>
  <si>
    <t xml:space="preserve">         * Bordure en agglo 10 ordinaire en mortier de ciment y compris fouilles, pose sur béton de propreté, apport de terre et planting de fleur, enduit et peinture en façade avant </t>
  </si>
  <si>
    <t>ELEVATION (réhausse de mur et pignon)</t>
  </si>
  <si>
    <t xml:space="preserve"> - Démolition de mur pignon pour réhausse des murs </t>
  </si>
  <si>
    <t xml:space="preserve"> - Agglos creux de 15 d'épaisseur de trois rangées y/c pignon</t>
  </si>
  <si>
    <t xml:space="preserve"> - Traitement des fissures</t>
  </si>
  <si>
    <t xml:space="preserve"> - démolition de mur pour poteaux et raidisseurs</t>
  </si>
  <si>
    <t xml:space="preserve"> - Insertion de 25 poteaux 15x20 cm en BA dosé à 350 kg/m3 ferraillés de 6 HA 10</t>
  </si>
  <si>
    <t>2.2.2.4.1</t>
  </si>
  <si>
    <t>2.2.2.4.2</t>
  </si>
  <si>
    <t>2.2.2.4.3</t>
  </si>
  <si>
    <t xml:space="preserve"> - Appui de baies en BA dosé à 350 kg/m3</t>
  </si>
  <si>
    <t>2.2.2.6.1</t>
  </si>
  <si>
    <t>2.2.2.6.2</t>
  </si>
  <si>
    <t xml:space="preserve">         * Aciers Tors HA 40 kg/m3</t>
  </si>
  <si>
    <t>2.2.2.6.3</t>
  </si>
  <si>
    <t xml:space="preserve"> - Couronnement des murs et pignons en fixation des ferrures</t>
  </si>
  <si>
    <t xml:space="preserve">   en BA dosé à 350 kg/m3</t>
  </si>
  <si>
    <t>2.2.2.7.1</t>
  </si>
  <si>
    <t>2.2.2.7.2</t>
  </si>
  <si>
    <t>2.2.2.7.3</t>
  </si>
  <si>
    <t xml:space="preserve"> - Console en BA dosé à 350 kg/m3</t>
  </si>
  <si>
    <t xml:space="preserve"> * Enduits ext. dosés à 250 kg/m3 sur maçonnerie</t>
  </si>
  <si>
    <t>2.2.2.9.2</t>
  </si>
  <si>
    <t xml:space="preserve"> * Enduits int. dosés à 250 kg/m3 </t>
  </si>
  <si>
    <t>2.2.2.12</t>
  </si>
  <si>
    <t>Démolition de claustras existant et aggrandissement de baie</t>
  </si>
  <si>
    <t>Claustras de 22 x 22x20, type projet BAD dim (250 * 120)</t>
  </si>
  <si>
    <t xml:space="preserve"> - Placards en maçonnerie (classes + bureau) 140 x 210</t>
  </si>
  <si>
    <t xml:space="preserve"> - Bibliothèque en maçonnerie (classes) 140 x 210</t>
  </si>
  <si>
    <t>2.3.1.1</t>
  </si>
  <si>
    <t xml:space="preserve"> - Démolition d'escaliers existants</t>
  </si>
  <si>
    <t>2.3.1.2</t>
  </si>
  <si>
    <t xml:space="preserve"> - Remblai  sous les marches</t>
  </si>
  <si>
    <t>2.3.1.3</t>
  </si>
  <si>
    <t>2.3.1.5</t>
  </si>
  <si>
    <t>Les marches en béton dosé à 350 kg/m3</t>
  </si>
  <si>
    <t>2.3.1.5.1</t>
  </si>
  <si>
    <t>2.3.1.5.2</t>
  </si>
  <si>
    <t>2.3.1.6</t>
  </si>
  <si>
    <t>Enduits des marches</t>
  </si>
  <si>
    <t>2.3.2.1</t>
  </si>
  <si>
    <t>2.3.2.2</t>
  </si>
  <si>
    <t>2.3.2.3</t>
  </si>
  <si>
    <t>2.3.2.4</t>
  </si>
  <si>
    <t>Rampe en BA dosé à 350 kg/m3</t>
  </si>
  <si>
    <t>2.3.2.5.1</t>
  </si>
  <si>
    <t>2.3.2.5.2</t>
  </si>
  <si>
    <t>2.3.2.5.3</t>
  </si>
  <si>
    <t xml:space="preserve">Dalettes de couverture pour placard et bibliothèque </t>
  </si>
  <si>
    <t>en BA dosé à 350 kg/m3, ép =5 cm</t>
  </si>
  <si>
    <t xml:space="preserve">         * Coffrage soigné 2 m2/m3</t>
  </si>
  <si>
    <t>Etagères en BA  pour placard et bibliothèque, ép=5cm</t>
  </si>
  <si>
    <t>2.3.6</t>
  </si>
  <si>
    <t>2.3.6.1</t>
  </si>
  <si>
    <t>Démolition des tableau existants</t>
  </si>
  <si>
    <t>Tableau de 6 x 140 avec pose craie</t>
  </si>
  <si>
    <t>F/P de pose craie en planche 15 cm</t>
  </si>
  <si>
    <t>2.3.6.3</t>
  </si>
  <si>
    <t>Tableau synoptique  300 x 140</t>
  </si>
  <si>
    <t xml:space="preserve"> SOUS/TOTAL Gros Oeuvres</t>
  </si>
  <si>
    <t xml:space="preserve"> LOT 3 - CHARPENTE BOIS</t>
  </si>
  <si>
    <t>ens</t>
  </si>
  <si>
    <t>Arbaletrier en planche de 3 x 4 x 20 cm</t>
  </si>
  <si>
    <t>Entrait en planche de  3 x 4 x 20 cm</t>
  </si>
  <si>
    <t>3.1.4</t>
  </si>
  <si>
    <t>Jambette en planche de  3 x 30 cm</t>
  </si>
  <si>
    <t>3.1.5</t>
  </si>
  <si>
    <t>Contre- fiche en planche   4 x 20 cm</t>
  </si>
  <si>
    <t>3.1.6</t>
  </si>
  <si>
    <t>Panne de 6 x 11cm</t>
  </si>
  <si>
    <t>3.1.7</t>
  </si>
  <si>
    <t>pqt</t>
  </si>
  <si>
    <t>SOUS/TOTAL Charpente Bois</t>
  </si>
  <si>
    <t>LOT 4 - COUVERTURE</t>
  </si>
  <si>
    <t>4.1.1.2</t>
  </si>
  <si>
    <t>SOUS/TOTAL Couverture</t>
  </si>
  <si>
    <t>LOT 5 - ETANCHEITE</t>
  </si>
  <si>
    <t xml:space="preserve"> Etanchéité Toiture sur les têtes des tire-fonds</t>
  </si>
  <si>
    <r>
      <t>SOUS/TOTAL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</si>
  <si>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LOT 6 -  MENUISERIE BOIS ET VITRERIE</t>
  </si>
  <si>
    <t xml:space="preserve"> Menuiserie bois</t>
  </si>
  <si>
    <t xml:space="preserve">Dépose de porte en bois </t>
  </si>
  <si>
    <t>Porte bois plein y compris cadre</t>
  </si>
  <si>
    <t>6.1.2.1</t>
  </si>
  <si>
    <t xml:space="preserve">  * 120 x 210</t>
  </si>
  <si>
    <t>6.1.2.2</t>
  </si>
  <si>
    <t xml:space="preserve"> Vitrerie</t>
  </si>
  <si>
    <t>Fenêtre vitrée</t>
  </si>
  <si>
    <t>6.2.1.1</t>
  </si>
  <si>
    <t>Chassis de 6 lames de type  naco, par paire</t>
  </si>
  <si>
    <t>6.2.1.2</t>
  </si>
  <si>
    <t>Verre clair de 6 mm</t>
  </si>
  <si>
    <t>SOUS/TOTAL Menuiserie bois- vitrerie</t>
  </si>
  <si>
    <t>LOT 7 - FAUX PLAFOND EN CP 8 mm</t>
  </si>
  <si>
    <t>Ossature en chevron de 6 x4 pour les classes</t>
  </si>
  <si>
    <t>Ossature en chevron de 6 x4 pour bureau et magasin</t>
  </si>
  <si>
    <t xml:space="preserve">Faux plafond en contre- plaqué de 8 mm, </t>
  </si>
  <si>
    <t>Dépose de faux plafond</t>
  </si>
  <si>
    <t>Pose de faux plafond en cp 8 mm y/c ossature et baguettes</t>
  </si>
  <si>
    <t>SOUS/TOTAL Faux Plafond en CP 8 mm</t>
  </si>
  <si>
    <t>LOT 8 -  MENUISERIE METALLIQUE Y/C SERRURERIE</t>
  </si>
  <si>
    <t>8.1.1,1</t>
  </si>
  <si>
    <t>Porte métallique  90 x 200 pour bureau</t>
  </si>
  <si>
    <t>8.2</t>
  </si>
  <si>
    <t>8.2.1</t>
  </si>
  <si>
    <t>Porte metallique pour bureau et magasin</t>
  </si>
  <si>
    <t>8.2.2</t>
  </si>
  <si>
    <t>8.3</t>
  </si>
  <si>
    <t>Anti - vol métallique</t>
  </si>
  <si>
    <t>8.3.1</t>
  </si>
  <si>
    <t xml:space="preserve">Anti - vol pour fenêtre </t>
  </si>
  <si>
    <t>8.3.1.1</t>
  </si>
  <si>
    <t xml:space="preserve">   * 120 x 110</t>
  </si>
  <si>
    <t>8.4</t>
  </si>
  <si>
    <t>Portillons metalliques pour cloture</t>
  </si>
  <si>
    <t>8.4.1</t>
  </si>
  <si>
    <t>Portillon sur la galerie      90x150</t>
  </si>
  <si>
    <t>8.4.2</t>
  </si>
  <si>
    <t>Portillon sur la coursive 140x150</t>
  </si>
  <si>
    <t>SOUS/TOTAL Serrurerie</t>
  </si>
  <si>
    <t>LOT 9 - PLOMBRIE - SANITAIRE (sans objet)</t>
  </si>
  <si>
    <t>LOT 10 - ELECTRICITE</t>
  </si>
  <si>
    <t>CIRCUIT ELECTRIQUE</t>
  </si>
  <si>
    <t>10.1.1bis</t>
  </si>
  <si>
    <t xml:space="preserve"> SOUS/TOTAL Electricité</t>
  </si>
  <si>
    <t>lot 10 - PEINTURE</t>
  </si>
  <si>
    <t>11.1</t>
  </si>
  <si>
    <t>11.1.1</t>
  </si>
  <si>
    <t>11.1.2</t>
  </si>
  <si>
    <t>11.2</t>
  </si>
  <si>
    <t>11.2.1</t>
  </si>
  <si>
    <t>11.2.3</t>
  </si>
  <si>
    <t xml:space="preserve"> - Vinyl sur faux plafond en c/p , 2 couches, les classes</t>
  </si>
  <si>
    <t>11.3</t>
  </si>
  <si>
    <t>Vernis marin</t>
  </si>
  <si>
    <t>11.3.1</t>
  </si>
  <si>
    <t xml:space="preserve"> - Vernis marin sur murs extérieurs et intérieurs et claustras 2 couches</t>
  </si>
  <si>
    <t>11.4</t>
  </si>
  <si>
    <t>11.4.1</t>
  </si>
  <si>
    <t>11.5</t>
  </si>
  <si>
    <t>Ardoisine</t>
  </si>
  <si>
    <t>11.5.1</t>
  </si>
  <si>
    <t>Enduit pantecote sur tableau en ciment</t>
  </si>
  <si>
    <t>SOUS/TOTAL Peinture</t>
  </si>
  <si>
    <t xml:space="preserve">                ASSAINISSEMENT</t>
  </si>
  <si>
    <t xml:space="preserve"> - Gros béton de semelle filante dosé à 250 kg/m3</t>
  </si>
  <si>
    <t xml:space="preserve"> - Amorce des poteaux en BA dosé à 300 kg/m3</t>
  </si>
  <si>
    <t xml:space="preserve">         * Béton armé y/c compris chape bouchardée</t>
  </si>
  <si>
    <t xml:space="preserve">         * Armature en treilli de fer diam.6 3 kg/m²</t>
  </si>
  <si>
    <t xml:space="preserve"> - démolition de mur pignon pour réhausse des murs</t>
  </si>
  <si>
    <t xml:space="preserve"> - Agglos creux de 15 d'épaisseur pour réhausse et pignon</t>
  </si>
  <si>
    <t xml:space="preserve"> - démolition de magasin intermédiaire à la terrasse</t>
  </si>
  <si>
    <t xml:space="preserve"> - Chaînage bas et haut pour terrasse dosés à 350 kg/m3</t>
  </si>
  <si>
    <t>Démolition de mur et claustras pour aggrandissement des baies portes et fenêtres</t>
  </si>
  <si>
    <t>Claustras de 22 x 22x20, type projet BAD 1&amp;2 dim (200 * 110)</t>
  </si>
  <si>
    <t xml:space="preserve"> - Placards en maçonnerie (classes + bureau) 14 x 210</t>
  </si>
  <si>
    <t>Tableau de 6 x 140</t>
  </si>
  <si>
    <t>2.3.6.2</t>
  </si>
  <si>
    <t xml:space="preserve">Tableau de 403 x 140 </t>
  </si>
  <si>
    <t xml:space="preserve"> tôle onduilée  ht= 40 cm</t>
  </si>
  <si>
    <t>Dépose de portes et fenêtres</t>
  </si>
  <si>
    <t>Pose de faux pland en cp de 8 mm</t>
  </si>
  <si>
    <t>LOT 8 -  SERRURERIE(y compris quincaillerie 1er choix)</t>
  </si>
  <si>
    <t>Porte métallique pour bureau</t>
  </si>
  <si>
    <t>Fenêtres et anti - vol métallique</t>
  </si>
  <si>
    <t xml:space="preserve">   * 100 x 100</t>
  </si>
  <si>
    <t>10.1.2 bis</t>
  </si>
  <si>
    <t>Boite de dérivation 196x152</t>
  </si>
  <si>
    <t>10.1.3 bis</t>
  </si>
  <si>
    <t>Boite  ronde encastrable 62x70x40</t>
  </si>
  <si>
    <t>10.1.4 bis</t>
  </si>
  <si>
    <t>Plaque vierge</t>
  </si>
  <si>
    <t>Enduit pantécôte sur tableau en ciment</t>
  </si>
  <si>
    <t>RECAPITULATIF LOT 1 MEDIBLY</t>
  </si>
  <si>
    <t>REHABILITATION DE SIX SALLES  DE CLASSES + BUREAU</t>
  </si>
  <si>
    <t xml:space="preserve"> DEVIS QUANTITATIF ET ESTIMATIF DES TRAVAUX DE REHABILITATION DE 06 CLASSES + BUREAU A MEDIBLY: EPP MEDIBLY 1</t>
  </si>
  <si>
    <t>Tableau synoptique  300 x 140 (classes et bureau)</t>
  </si>
  <si>
    <t>Porte métallique  150 x 220 pour classes</t>
  </si>
  <si>
    <t>Dépose de la couverture</t>
  </si>
  <si>
    <t xml:space="preserve">Renforcement de charpente </t>
  </si>
  <si>
    <t xml:space="preserve">Renforcement de la charpente </t>
  </si>
  <si>
    <t>Porte métallique pour classes 150x220 cm</t>
  </si>
  <si>
    <t>Installation générale (connection au réseau, fillerie et appareillage)</t>
  </si>
  <si>
    <t>TOTAL  HT</t>
  </si>
  <si>
    <t>Peinture Glycéro sur ouvrages métalliques</t>
  </si>
  <si>
    <t xml:space="preserve"> - Vinyle sur murs intérieurs  et claustras 2 couches</t>
  </si>
  <si>
    <t xml:space="preserve"> - Peinture glycérophtalique sur parties courantes </t>
  </si>
  <si>
    <t xml:space="preserve"> - Vinyle sur murs extérieurs  et claustras 2 couches</t>
  </si>
  <si>
    <t>Faïence h=1 m</t>
  </si>
  <si>
    <t xml:space="preserve">Grès cérame 15x15 cm au sol </t>
  </si>
  <si>
    <t>sol et faïence</t>
  </si>
  <si>
    <t>FF</t>
  </si>
  <si>
    <t>Installation d'un dispositif de lavage des mains à pédale</t>
  </si>
  <si>
    <t xml:space="preserve">Révision du système de ventilation des fosses diam 80 y/c tout accessoire de pose </t>
  </si>
  <si>
    <t>Fourniture et pose de WC turque</t>
  </si>
  <si>
    <t xml:space="preserve">  * 70 x 150 pour terrasse</t>
  </si>
  <si>
    <t>Portes métalliques</t>
  </si>
  <si>
    <t>Etanchéité sur les têtes des tire-fond</t>
  </si>
  <si>
    <t>Accessoires de pose</t>
  </si>
  <si>
    <t xml:space="preserve">         * Enduits int. dosés à 250 kg/m3 </t>
  </si>
  <si>
    <t xml:space="preserve">         * Enduits ext. dosés à 250 kg/m3 </t>
  </si>
  <si>
    <t xml:space="preserve">- Agglos 15 creux </t>
  </si>
  <si>
    <t>- Dalettes de fermeture en béton armé ép. = 10 cm</t>
  </si>
  <si>
    <t>Ecurage des fosses</t>
  </si>
  <si>
    <t>Nettoyage à l'intérieur des cabines et extérieur du bloc</t>
  </si>
  <si>
    <t xml:space="preserve">Total travaux d'achèvement de latrine (8 cabine) à fosse sèche avec dispositifs de lavage des mains </t>
  </si>
  <si>
    <t>ACHEVEMENT TRAVAUX DE LATRINE</t>
  </si>
  <si>
    <t>TOTAL GENERAL</t>
  </si>
  <si>
    <t xml:space="preserve">NOMBRE DE SITES 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</si>
  <si>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</si>
  <si>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</si>
  <si>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</si>
  <si>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</si>
  <si>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</si>
  <si>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</si>
  <si>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</si>
  <si>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</si>
  <si>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</si>
  <si>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 xml:space="preserve">    BATIMENT 1: QUATRE CLASSES + BUREAU </t>
  </si>
  <si>
    <t xml:space="preserve">    BATIMENT 2 : DEUX CLASSES</t>
  </si>
  <si>
    <t>TOTAL REHABILITATION  HT</t>
  </si>
  <si>
    <t xml:space="preserve">TOTAL BATIMENT 2: DEUX CLASSES </t>
  </si>
  <si>
    <t xml:space="preserve">TRAVAUX D'ACHEVEMENT DE LATRINES (8 cabines) à fosse sèche (FS) </t>
  </si>
  <si>
    <t xml:space="preserve">TOTAL BATIMENT 1: QUATRE CLASSES + BUREAU </t>
  </si>
  <si>
    <t>Couverture en tole bac aluzinc colorée ép 30/32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</si>
  <si>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y/c tire-fonds</t>
    </r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</si>
  <si>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y/c tire-fonds</t>
    </r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</si>
  <si>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 y/c tire-fonds</t>
    </r>
  </si>
  <si>
    <t>Tôle bac coulorée y/c toutes sujection de pose</t>
  </si>
  <si>
    <t xml:space="preserve">Couverture en tôle bac alu zinc </t>
  </si>
  <si>
    <t>Bardage en tôle bac alu zinc  ht=30</t>
  </si>
  <si>
    <t>Couverture en tole bac aluzinc colorée ép 0,30/0,32 y/c tire-fonds</t>
  </si>
  <si>
    <t>Couverture en tôle bac aluzinc colorée ép 0,30/0,32 y/c tire-fonds</t>
  </si>
  <si>
    <t>Couverture en tole bac aluzinc colorée ép 0,30/0,32y/c tire-fonds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</si>
</sst>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  <numFmt numFmtId="168" formatCode="_-* #,##0\ _€_-;\-* #,##0\ _€_-;_-* &quot;-&quot;??\ _€_-;_-@_-"/>
  </numFmts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4"/>
      <name val="Arial "/>
    </font>
    <font>
      <b/>
      <u/>
      <sz val="14"/>
      <name val="Arial 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5" fillId="0" borderId="0"/>
    <xf numFmtId="43" fontId="35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3" fontId="4" fillId="0" borderId="10" xfId="2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3" fontId="5" fillId="4" borderId="18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0" fontId="6" fillId="6" borderId="16" xfId="0" quotePrefix="1" applyFont="1" applyFill="1" applyBorder="1"/>
    <xf numFmtId="0" fontId="6" fillId="6" borderId="18" xfId="0" applyFont="1" applyFill="1" applyBorder="1" applyAlignment="1">
      <alignment horizontal="center"/>
    </xf>
    <xf numFmtId="2" fontId="6" fillId="6" borderId="18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3" fontId="6" fillId="0" borderId="10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166" fontId="6" fillId="10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" fontId="6" fillId="6" borderId="0" xfId="2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1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4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4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2" fontId="32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9" fillId="0" borderId="16" xfId="0" applyFont="1" applyBorder="1" applyAlignment="1">
      <alignment horizontal="left"/>
    </xf>
    <xf numFmtId="0" fontId="40" fillId="0" borderId="16" xfId="0" applyFont="1" applyBorder="1" applyAlignment="1">
      <alignment wrapText="1"/>
    </xf>
    <xf numFmtId="0" fontId="39" fillId="0" borderId="18" xfId="0" applyFont="1" applyBorder="1" applyAlignment="1">
      <alignment horizontal="center"/>
    </xf>
    <xf numFmtId="2" fontId="39" fillId="0" borderId="18" xfId="0" applyNumberFormat="1" applyFont="1" applyBorder="1" applyAlignment="1">
      <alignment horizontal="center"/>
    </xf>
    <xf numFmtId="3" fontId="39" fillId="0" borderId="18" xfId="0" applyNumberFormat="1" applyFont="1" applyBorder="1" applyAlignment="1" applyProtection="1">
      <alignment horizontal="center"/>
      <protection locked="0"/>
    </xf>
    <xf numFmtId="43" fontId="39" fillId="0" borderId="16" xfId="2" applyFont="1" applyBorder="1" applyAlignment="1" applyProtection="1">
      <alignment horizontal="center"/>
    </xf>
    <xf numFmtId="0" fontId="41" fillId="0" borderId="0" xfId="0" applyFont="1"/>
    <xf numFmtId="0" fontId="39" fillId="0" borderId="16" xfId="0" applyFont="1" applyBorder="1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2" fontId="7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17" xfId="1" applyFont="1" applyBorder="1" applyAlignment="1">
      <alignment horizontal="left"/>
    </xf>
    <xf numFmtId="0" fontId="6" fillId="0" borderId="16" xfId="1" applyFont="1" applyBorder="1"/>
    <xf numFmtId="0" fontId="5" fillId="0" borderId="18" xfId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left"/>
    </xf>
    <xf numFmtId="0" fontId="5" fillId="0" borderId="16" xfId="1" applyFont="1" applyBorder="1"/>
    <xf numFmtId="2" fontId="5" fillId="0" borderId="18" xfId="1" applyNumberFormat="1" applyFont="1" applyBorder="1" applyAlignment="1">
      <alignment horizontal="center" vertical="center"/>
    </xf>
    <xf numFmtId="3" fontId="5" fillId="6" borderId="18" xfId="1" applyNumberFormat="1" applyFont="1" applyFill="1" applyBorder="1" applyAlignment="1">
      <alignment horizontal="center" vertical="center"/>
    </xf>
    <xf numFmtId="0" fontId="5" fillId="0" borderId="10" xfId="1" applyFont="1" applyBorder="1"/>
    <xf numFmtId="0" fontId="6" fillId="0" borderId="13" xfId="1" applyFont="1" applyBorder="1" applyAlignment="1">
      <alignment horizontal="right"/>
    </xf>
    <xf numFmtId="0" fontId="6" fillId="0" borderId="11" xfId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left"/>
    </xf>
    <xf numFmtId="0" fontId="6" fillId="0" borderId="16" xfId="1" quotePrefix="1" applyFont="1" applyBorder="1"/>
    <xf numFmtId="0" fontId="6" fillId="0" borderId="18" xfId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0" fontId="4" fillId="0" borderId="13" xfId="1" applyFont="1" applyBorder="1"/>
    <xf numFmtId="0" fontId="5" fillId="0" borderId="12" xfId="1" applyFont="1" applyBorder="1" applyAlignment="1">
      <alignment horizontal="left"/>
    </xf>
    <xf numFmtId="0" fontId="5" fillId="0" borderId="19" xfId="1" applyFont="1" applyBorder="1"/>
    <xf numFmtId="0" fontId="5" fillId="0" borderId="12" xfId="1" applyFont="1" applyBorder="1" applyAlignment="1">
      <alignment horizontal="center" vertical="center"/>
    </xf>
    <xf numFmtId="0" fontId="6" fillId="0" borderId="18" xfId="1" applyFont="1" applyBorder="1" applyAlignment="1">
      <alignment horizontal="left"/>
    </xf>
    <xf numFmtId="0" fontId="9" fillId="0" borderId="0" xfId="1" applyFont="1"/>
    <xf numFmtId="0" fontId="5" fillId="0" borderId="18" xfId="1" applyFont="1" applyBorder="1" applyAlignment="1">
      <alignment horizontal="left"/>
    </xf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/>
    <xf numFmtId="0" fontId="5" fillId="6" borderId="0" xfId="1" applyFont="1" applyFill="1"/>
    <xf numFmtId="0" fontId="5" fillId="6" borderId="18" xfId="1" applyFont="1" applyFill="1" applyBorder="1" applyAlignment="1">
      <alignment horizontal="center" vertical="center"/>
    </xf>
    <xf numFmtId="2" fontId="5" fillId="6" borderId="18" xfId="1" applyNumberFormat="1" applyFont="1" applyFill="1" applyBorder="1" applyAlignment="1">
      <alignment horizontal="center" vertical="center"/>
    </xf>
    <xf numFmtId="0" fontId="6" fillId="0" borderId="0" xfId="1" applyFont="1"/>
    <xf numFmtId="0" fontId="5" fillId="6" borderId="0" xfId="1" applyFont="1" applyFill="1" applyAlignment="1">
      <alignment wrapText="1"/>
    </xf>
    <xf numFmtId="3" fontId="6" fillId="0" borderId="18" xfId="1" applyNumberFormat="1" applyFont="1" applyBorder="1" applyAlignment="1">
      <alignment horizontal="center" vertical="center"/>
    </xf>
    <xf numFmtId="0" fontId="5" fillId="6" borderId="18" xfId="1" applyFont="1" applyFill="1" applyBorder="1" applyAlignment="1">
      <alignment horizontal="left"/>
    </xf>
    <xf numFmtId="0" fontId="1" fillId="6" borderId="0" xfId="1" applyFill="1"/>
    <xf numFmtId="0" fontId="5" fillId="0" borderId="20" xfId="1" applyFont="1" applyBorder="1" applyAlignment="1">
      <alignment horizontal="left"/>
    </xf>
    <xf numFmtId="0" fontId="5" fillId="0" borderId="15" xfId="1" applyFont="1" applyBorder="1"/>
    <xf numFmtId="0" fontId="5" fillId="0" borderId="20" xfId="1" applyFont="1" applyBorder="1" applyAlignment="1">
      <alignment horizontal="center" vertical="center"/>
    </xf>
    <xf numFmtId="2" fontId="43" fillId="6" borderId="18" xfId="1" applyNumberFormat="1" applyFont="1" applyFill="1" applyBorder="1" applyAlignment="1">
      <alignment horizontal="center" vertical="center"/>
    </xf>
    <xf numFmtId="2" fontId="43" fillId="0" borderId="18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left"/>
    </xf>
    <xf numFmtId="0" fontId="6" fillId="6" borderId="19" xfId="1" applyFont="1" applyFill="1" applyBorder="1"/>
    <xf numFmtId="0" fontId="5" fillId="6" borderId="12" xfId="1" applyFont="1" applyFill="1" applyBorder="1" applyAlignment="1">
      <alignment horizontal="center" vertical="center"/>
    </xf>
    <xf numFmtId="164" fontId="5" fillId="6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/>
    </xf>
    <xf numFmtId="0" fontId="5" fillId="0" borderId="18" xfId="1" applyFont="1" applyBorder="1"/>
    <xf numFmtId="3" fontId="5" fillId="0" borderId="20" xfId="1" applyNumberFormat="1" applyFont="1" applyBorder="1" applyAlignment="1">
      <alignment horizontal="center" vertical="center"/>
    </xf>
    <xf numFmtId="0" fontId="6" fillId="0" borderId="13" xfId="1" applyFont="1" applyBorder="1"/>
    <xf numFmtId="0" fontId="6" fillId="0" borderId="18" xfId="1" applyFont="1" applyBorder="1"/>
    <xf numFmtId="0" fontId="5" fillId="0" borderId="20" xfId="1" applyFont="1" applyBorder="1"/>
    <xf numFmtId="0" fontId="6" fillId="0" borderId="14" xfId="1" applyFont="1" applyBorder="1"/>
    <xf numFmtId="0" fontId="6" fillId="0" borderId="12" xfId="1" applyFont="1" applyBorder="1"/>
    <xf numFmtId="0" fontId="6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0" xfId="1" applyFont="1" applyBorder="1"/>
    <xf numFmtId="0" fontId="1" fillId="0" borderId="12" xfId="1" applyBorder="1" applyAlignment="1">
      <alignment horizontal="center" vertical="center"/>
    </xf>
    <xf numFmtId="2" fontId="1" fillId="0" borderId="18" xfId="1" applyNumberFormat="1" applyBorder="1" applyAlignment="1">
      <alignment horizontal="center" vertical="center"/>
    </xf>
    <xf numFmtId="0" fontId="6" fillId="0" borderId="16" xfId="1" applyFont="1" applyBorder="1" applyAlignment="1">
      <alignment wrapText="1"/>
    </xf>
    <xf numFmtId="0" fontId="5" fillId="0" borderId="16" xfId="1" applyFont="1" applyBorder="1" applyAlignment="1">
      <alignment wrapText="1"/>
    </xf>
    <xf numFmtId="0" fontId="1" fillId="0" borderId="18" xfId="1" applyBorder="1" applyAlignment="1">
      <alignment horizontal="center" vertical="center"/>
    </xf>
    <xf numFmtId="168" fontId="6" fillId="0" borderId="10" xfId="5" applyNumberFormat="1" applyFont="1" applyFill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6" fillId="0" borderId="10" xfId="1" applyFont="1" applyBorder="1" applyAlignment="1">
      <alignment vertical="center"/>
    </xf>
    <xf numFmtId="2" fontId="5" fillId="0" borderId="31" xfId="1" applyNumberFormat="1" applyFont="1" applyBorder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2" fontId="5" fillId="13" borderId="18" xfId="1" applyNumberFormat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168" fontId="6" fillId="9" borderId="1" xfId="1" applyNumberFormat="1" applyFont="1" applyFill="1" applyBorder="1" applyAlignment="1">
      <alignment horizontal="center" vertical="center"/>
    </xf>
    <xf numFmtId="9" fontId="44" fillId="0" borderId="0" xfId="1" applyNumberFormat="1" applyFont="1" applyAlignment="1">
      <alignment horizontal="center" vertical="center"/>
    </xf>
    <xf numFmtId="0" fontId="42" fillId="9" borderId="14" xfId="0" applyFont="1" applyFill="1" applyBorder="1"/>
    <xf numFmtId="0" fontId="3" fillId="0" borderId="0" xfId="4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49" fontId="2" fillId="0" borderId="0" xfId="4" applyNumberFormat="1" applyFont="1" applyAlignment="1">
      <alignment horizontal="left" vertical="center"/>
    </xf>
    <xf numFmtId="0" fontId="1" fillId="0" borderId="0" xfId="4" applyFont="1" applyAlignment="1">
      <alignment vertical="center"/>
    </xf>
    <xf numFmtId="166" fontId="42" fillId="9" borderId="10" xfId="14" applyNumberFormat="1" applyFont="1" applyFill="1" applyBorder="1" applyAlignment="1" applyProtection="1">
      <alignment horizontal="center" vertical="center"/>
    </xf>
    <xf numFmtId="0" fontId="6" fillId="9" borderId="14" xfId="4" applyFont="1" applyFill="1" applyBorder="1" applyAlignment="1" applyProtection="1">
      <alignment horizontal="center" vertical="center"/>
      <protection locked="0"/>
    </xf>
    <xf numFmtId="2" fontId="6" fillId="9" borderId="14" xfId="4" applyNumberFormat="1" applyFont="1" applyFill="1" applyBorder="1" applyAlignment="1">
      <alignment horizontal="center" vertical="center"/>
    </xf>
    <xf numFmtId="0" fontId="5" fillId="9" borderId="14" xfId="4" applyFont="1" applyFill="1" applyBorder="1" applyAlignment="1">
      <alignment horizontal="center" vertical="center"/>
    </xf>
    <xf numFmtId="0" fontId="6" fillId="9" borderId="14" xfId="4" applyFont="1" applyFill="1" applyBorder="1" applyAlignment="1">
      <alignment horizontal="center" vertical="center"/>
    </xf>
    <xf numFmtId="0" fontId="5" fillId="9" borderId="13" xfId="4" applyFont="1" applyFill="1" applyBorder="1" applyAlignment="1">
      <alignment vertical="center"/>
    </xf>
    <xf numFmtId="0" fontId="45" fillId="0" borderId="0" xfId="4" applyFont="1" applyAlignment="1">
      <alignment horizontal="center" vertical="center"/>
    </xf>
    <xf numFmtId="0" fontId="2" fillId="0" borderId="0" xfId="4" applyFont="1" applyAlignment="1" applyProtection="1">
      <alignment horizontal="center" vertical="center"/>
      <protection locked="0"/>
    </xf>
    <xf numFmtId="3" fontId="24" fillId="9" borderId="1" xfId="4" applyNumberFormat="1" applyFont="1" applyFill="1" applyBorder="1" applyAlignment="1">
      <alignment horizontal="center" vertical="center"/>
    </xf>
    <xf numFmtId="0" fontId="23" fillId="9" borderId="1" xfId="4" applyFont="1" applyFill="1" applyBorder="1" applyAlignment="1" applyProtection="1">
      <alignment vertical="center" wrapText="1"/>
      <protection locked="0"/>
    </xf>
    <xf numFmtId="0" fontId="23" fillId="9" borderId="1" xfId="4" applyFont="1" applyFill="1" applyBorder="1" applyAlignment="1">
      <alignment vertical="center" wrapText="1"/>
    </xf>
    <xf numFmtId="49" fontId="2" fillId="0" borderId="1" xfId="4" applyNumberFormat="1" applyFont="1" applyBorder="1" applyAlignment="1">
      <alignment vertical="center"/>
    </xf>
    <xf numFmtId="49" fontId="2" fillId="0" borderId="1" xfId="4" applyNumberFormat="1" applyFont="1" applyBorder="1" applyAlignment="1" applyProtection="1">
      <alignment vertical="center"/>
      <protection locked="0"/>
    </xf>
    <xf numFmtId="49" fontId="2" fillId="0" borderId="2" xfId="4" applyNumberFormat="1" applyFont="1" applyBorder="1" applyAlignment="1">
      <alignment vertical="center"/>
    </xf>
    <xf numFmtId="3" fontId="24" fillId="5" borderId="1" xfId="4" applyNumberFormat="1" applyFont="1" applyFill="1" applyBorder="1" applyAlignment="1">
      <alignment horizontal="center" vertical="center"/>
    </xf>
    <xf numFmtId="3" fontId="2" fillId="5" borderId="1" xfId="4" applyNumberFormat="1" applyFont="1" applyFill="1" applyBorder="1" applyAlignment="1" applyProtection="1">
      <alignment horizontal="center" vertical="center"/>
      <protection locked="0"/>
    </xf>
    <xf numFmtId="3" fontId="2" fillId="5" borderId="1" xfId="4" applyNumberFormat="1" applyFont="1" applyFill="1" applyBorder="1" applyAlignment="1">
      <alignment horizontal="center" vertical="center"/>
    </xf>
    <xf numFmtId="0" fontId="22" fillId="5" borderId="1" xfId="4" applyFont="1" applyFill="1" applyBorder="1" applyAlignment="1">
      <alignment vertical="center" wrapText="1"/>
    </xf>
    <xf numFmtId="0" fontId="22" fillId="5" borderId="3" xfId="4" applyFont="1" applyFill="1" applyBorder="1" applyAlignment="1">
      <alignment horizontal="right" vertical="center" wrapText="1"/>
    </xf>
    <xf numFmtId="49" fontId="2" fillId="0" borderId="2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 applyProtection="1">
      <alignment horizontal="center" vertical="center"/>
      <protection locked="0"/>
    </xf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2" fillId="0" borderId="2" xfId="4" applyFont="1" applyBorder="1" applyAlignment="1">
      <alignment vertical="center"/>
    </xf>
    <xf numFmtId="0" fontId="22" fillId="0" borderId="3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3" fontId="2" fillId="4" borderId="1" xfId="4" applyNumberFormat="1" applyFont="1" applyFill="1" applyBorder="1" applyAlignment="1">
      <alignment horizontal="center" vertical="center"/>
    </xf>
    <xf numFmtId="3" fontId="2" fillId="4" borderId="1" xfId="4" applyNumberFormat="1" applyFont="1" applyFill="1" applyBorder="1" applyAlignment="1" applyProtection="1">
      <alignment horizontal="center" vertical="center"/>
      <protection locked="0"/>
    </xf>
    <xf numFmtId="3" fontId="2" fillId="4" borderId="1" xfId="4" applyNumberFormat="1" applyFont="1" applyFill="1" applyBorder="1" applyAlignment="1">
      <alignment horizontal="right" vertical="center"/>
    </xf>
    <xf numFmtId="0" fontId="22" fillId="4" borderId="3" xfId="4" applyFont="1" applyFill="1" applyBorder="1" applyAlignment="1">
      <alignment horizontal="left" vertical="center"/>
    </xf>
    <xf numFmtId="0" fontId="22" fillId="4" borderId="2" xfId="4" applyFont="1" applyFill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0" fontId="2" fillId="6" borderId="0" xfId="4" applyFont="1" applyFill="1" applyAlignment="1">
      <alignment vertical="center"/>
    </xf>
    <xf numFmtId="3" fontId="24" fillId="6" borderId="1" xfId="4" applyNumberFormat="1" applyFont="1" applyFill="1" applyBorder="1" applyAlignment="1">
      <alignment horizontal="center" vertical="center"/>
    </xf>
    <xf numFmtId="3" fontId="2" fillId="6" borderId="1" xfId="4" applyNumberFormat="1" applyFont="1" applyFill="1" applyBorder="1" applyAlignment="1" applyProtection="1">
      <alignment horizontal="center" vertical="center"/>
      <protection locked="0"/>
    </xf>
    <xf numFmtId="3" fontId="2" fillId="6" borderId="1" xfId="4" applyNumberFormat="1" applyFont="1" applyFill="1" applyBorder="1" applyAlignment="1">
      <alignment horizontal="center" vertical="center"/>
    </xf>
    <xf numFmtId="0" fontId="22" fillId="6" borderId="1" xfId="4" applyFont="1" applyFill="1" applyBorder="1" applyAlignment="1">
      <alignment vertical="center" wrapText="1"/>
    </xf>
    <xf numFmtId="0" fontId="22" fillId="6" borderId="1" xfId="4" applyFont="1" applyFill="1" applyBorder="1" applyAlignment="1">
      <alignment horizontal="right" vertical="center" wrapText="1"/>
    </xf>
    <xf numFmtId="49" fontId="2" fillId="6" borderId="2" xfId="4" applyNumberFormat="1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 wrapText="1"/>
    </xf>
    <xf numFmtId="3" fontId="2" fillId="0" borderId="1" xfId="4" applyNumberFormat="1" applyFont="1" applyBorder="1" applyAlignment="1">
      <alignment horizontal="right" vertical="center"/>
    </xf>
    <xf numFmtId="49" fontId="22" fillId="0" borderId="3" xfId="4" applyNumberFormat="1" applyFont="1" applyBorder="1" applyAlignment="1">
      <alignment horizontal="center" vertical="center"/>
    </xf>
    <xf numFmtId="3" fontId="2" fillId="5" borderId="1" xfId="4" applyNumberFormat="1" applyFont="1" applyFill="1" applyBorder="1" applyAlignment="1">
      <alignment horizontal="right" vertical="center"/>
    </xf>
    <xf numFmtId="49" fontId="2" fillId="0" borderId="2" xfId="4" applyNumberFormat="1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/>
    </xf>
    <xf numFmtId="0" fontId="22" fillId="0" borderId="3" xfId="4" applyFont="1" applyBorder="1" applyAlignment="1">
      <alignment horizontal="left" vertical="center"/>
    </xf>
    <xf numFmtId="0" fontId="2" fillId="13" borderId="0" xfId="4" applyFont="1" applyFill="1" applyAlignment="1">
      <alignment vertical="center"/>
    </xf>
    <xf numFmtId="0" fontId="22" fillId="0" borderId="3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16" fontId="22" fillId="0" borderId="3" xfId="4" applyNumberFormat="1" applyFont="1" applyBorder="1" applyAlignment="1">
      <alignment horizontal="center" vertical="center"/>
    </xf>
    <xf numFmtId="3" fontId="24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 applyProtection="1">
      <alignment horizontal="center" vertical="center"/>
      <protection locked="0"/>
    </xf>
    <xf numFmtId="3" fontId="2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>
      <alignment horizontal="right" vertical="center"/>
    </xf>
    <xf numFmtId="0" fontId="23" fillId="10" borderId="3" xfId="4" applyFont="1" applyFill="1" applyBorder="1" applyAlignment="1">
      <alignment horizontal="center" vertical="center" wrapText="1"/>
    </xf>
    <xf numFmtId="0" fontId="2" fillId="10" borderId="2" xfId="4" applyFont="1" applyFill="1" applyBorder="1" applyAlignment="1">
      <alignment horizontal="left" vertical="center"/>
    </xf>
    <xf numFmtId="3" fontId="2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3" xfId="4" applyFont="1" applyBorder="1" applyAlignment="1">
      <alignment vertical="center"/>
    </xf>
    <xf numFmtId="49" fontId="2" fillId="0" borderId="3" xfId="4" applyNumberFormat="1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22" fillId="6" borderId="3" xfId="4" applyFont="1" applyFill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22" fillId="5" borderId="3" xfId="4" applyFont="1" applyFill="1" applyBorder="1" applyAlignment="1">
      <alignment horizontal="right" vertical="center"/>
    </xf>
    <xf numFmtId="0" fontId="2" fillId="10" borderId="1" xfId="4" applyFont="1" applyFill="1" applyBorder="1" applyAlignment="1">
      <alignment horizontal="center" vertical="center"/>
    </xf>
    <xf numFmtId="0" fontId="23" fillId="10" borderId="3" xfId="4" applyFont="1" applyFill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20" fillId="2" borderId="27" xfId="4" applyFont="1" applyFill="1" applyBorder="1" applyAlignment="1">
      <alignment horizontal="center" vertical="center" wrapText="1"/>
    </xf>
    <xf numFmtId="0" fontId="20" fillId="2" borderId="27" xfId="4" applyFont="1" applyFill="1" applyBorder="1" applyAlignment="1" applyProtection="1">
      <alignment horizontal="center" vertical="center" wrapText="1"/>
      <protection locked="0"/>
    </xf>
    <xf numFmtId="49" fontId="20" fillId="2" borderId="3" xfId="4" applyNumberFormat="1" applyFont="1" applyFill="1" applyBorder="1" applyAlignment="1">
      <alignment horizontal="center" vertical="center" wrapText="1"/>
    </xf>
    <xf numFmtId="0" fontId="20" fillId="2" borderId="26" xfId="4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9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9" fontId="22" fillId="9" borderId="0" xfId="0" applyNumberFormat="1" applyFont="1" applyFill="1" applyAlignment="1">
      <alignment horizontal="center" vertical="top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49" fontId="20" fillId="9" borderId="9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2" fillId="0" borderId="13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6" fillId="15" borderId="13" xfId="1" applyFont="1" applyFill="1" applyBorder="1" applyAlignment="1">
      <alignment horizontal="center" vertical="center"/>
    </xf>
    <xf numFmtId="0" fontId="6" fillId="15" borderId="14" xfId="1" applyFont="1" applyFill="1" applyBorder="1" applyAlignment="1">
      <alignment horizontal="center" vertical="center"/>
    </xf>
    <xf numFmtId="0" fontId="6" fillId="15" borderId="11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9" fontId="24" fillId="8" borderId="3" xfId="4" applyNumberFormat="1" applyFont="1" applyFill="1" applyBorder="1" applyAlignment="1">
      <alignment horizontal="center" vertical="center" wrapText="1"/>
    </xf>
    <xf numFmtId="49" fontId="24" fillId="8" borderId="4" xfId="4" applyNumberFormat="1" applyFont="1" applyFill="1" applyBorder="1" applyAlignment="1">
      <alignment horizontal="center" vertical="center" wrapText="1"/>
    </xf>
    <xf numFmtId="49" fontId="24" fillId="8" borderId="7" xfId="4" applyNumberFormat="1" applyFont="1" applyFill="1" applyBorder="1" applyAlignment="1">
      <alignment horizontal="center" vertical="center" wrapText="1"/>
    </xf>
    <xf numFmtId="0" fontId="23" fillId="9" borderId="8" xfId="4" applyFont="1" applyFill="1" applyBorder="1" applyAlignment="1">
      <alignment horizontal="center" vertical="center" wrapText="1"/>
    </xf>
    <xf numFmtId="0" fontId="23" fillId="9" borderId="4" xfId="4" applyFont="1" applyFill="1" applyBorder="1" applyAlignment="1">
      <alignment horizontal="center" vertical="center" wrapText="1"/>
    </xf>
    <xf numFmtId="0" fontId="23" fillId="9" borderId="7" xfId="4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/>
    </xf>
    <xf numFmtId="49" fontId="24" fillId="6" borderId="4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2257779</xdr:colOff>
      <xdr:row>1</xdr:row>
      <xdr:rowOff>14111</xdr:rowOff>
    </xdr:from>
    <xdr:to>
      <xdr:col>1</xdr:col>
      <xdr:colOff>3929945</xdr:colOff>
      <xdr:row>1</xdr:row>
      <xdr:rowOff>686309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1E9F30-444B-4A5B-A97F-177608553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557" y="176389"/>
          <a:ext cx="1672166" cy="672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244475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2446020</xdr:colOff>
      <xdr:row>0</xdr:row>
      <xdr:rowOff>152400</xdr:rowOff>
    </xdr:from>
    <xdr:to>
      <xdr:col>2</xdr:col>
      <xdr:colOff>160655</xdr:colOff>
      <xdr:row>2</xdr:row>
      <xdr:rowOff>228600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AF38F0-92CF-4DC6-BACE-0D7688891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770" y="152400"/>
          <a:ext cx="1800860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B74B-2239-4CAE-8115-F7854F9C26A2}">
  <dimension ref="A2:G394"/>
  <sheetViews>
    <sheetView showGridLines="0" view="pageBreakPreview" topLeftCell="A303" zoomScale="90" zoomScaleNormal="100" zoomScaleSheetLayoutView="90" workbookViewId="0">
      <selection activeCell="B324" sqref="B324"/>
    </sheetView>
  </sheetViews>
  <sheetFormatPr baseColWidth="10" defaultColWidth="9.21875" defaultRowHeight="13.2"/>
  <cols>
    <col min="1" max="1" width="10.44140625" style="324" customWidth="1"/>
    <col min="2" max="2" width="64.77734375" style="324" customWidth="1"/>
    <col min="3" max="3" width="7.88671875" style="326" customWidth="1"/>
    <col min="4" max="4" width="9.33203125" style="325" customWidth="1"/>
    <col min="5" max="5" width="12.5546875" style="326" customWidth="1"/>
    <col min="6" max="6" width="14.44140625" style="326" customWidth="1"/>
    <col min="7" max="7" width="5.77734375" style="324" customWidth="1"/>
    <col min="8" max="9" width="9.21875" style="324"/>
    <col min="10" max="10" width="10" style="324" bestFit="1" customWidth="1"/>
    <col min="11" max="16384" width="9.21875" style="324"/>
  </cols>
  <sheetData>
    <row r="2" spans="1:7" ht="64.95" customHeight="1" thickBot="1"/>
    <row r="3" spans="1:7" ht="51.45" customHeight="1" thickBot="1">
      <c r="A3" s="517" t="s">
        <v>617</v>
      </c>
      <c r="B3" s="518"/>
      <c r="C3" s="518"/>
      <c r="D3" s="518"/>
      <c r="E3" s="518"/>
      <c r="F3" s="519"/>
    </row>
    <row r="4" spans="1:7" ht="13.05" customHeight="1" thickBot="1"/>
    <row r="5" spans="1:7" ht="22.95" customHeight="1" thickBot="1">
      <c r="B5" s="520" t="s">
        <v>660</v>
      </c>
      <c r="C5" s="521"/>
      <c r="D5" s="521"/>
      <c r="E5" s="522"/>
      <c r="F5" s="328"/>
    </row>
    <row r="6" spans="1:7" ht="13.2" customHeight="1" thickBot="1">
      <c r="B6" s="329"/>
      <c r="C6" s="330"/>
      <c r="D6" s="331"/>
      <c r="E6" s="332"/>
      <c r="F6" s="332"/>
    </row>
    <row r="7" spans="1:7" s="339" customFormat="1" ht="33" customHeight="1" thickBot="1">
      <c r="A7" s="333" t="s">
        <v>413</v>
      </c>
      <c r="B7" s="334" t="s">
        <v>70</v>
      </c>
      <c r="C7" s="335" t="s">
        <v>75</v>
      </c>
      <c r="D7" s="336" t="s">
        <v>76</v>
      </c>
      <c r="E7" s="337" t="s">
        <v>77</v>
      </c>
      <c r="F7" s="335" t="s">
        <v>78</v>
      </c>
      <c r="G7" s="338"/>
    </row>
    <row r="8" spans="1:7" ht="15.6">
      <c r="A8" s="340">
        <v>1</v>
      </c>
      <c r="B8" s="341" t="s">
        <v>414</v>
      </c>
      <c r="C8" s="342"/>
      <c r="D8" s="343"/>
      <c r="E8" s="344"/>
      <c r="F8" s="345"/>
    </row>
    <row r="9" spans="1:7" ht="15.6" thickBot="1">
      <c r="A9" s="346" t="s">
        <v>5</v>
      </c>
      <c r="B9" s="347" t="s">
        <v>415</v>
      </c>
      <c r="C9" s="342" t="s">
        <v>416</v>
      </c>
      <c r="D9" s="348">
        <v>1</v>
      </c>
      <c r="E9" s="349"/>
      <c r="F9" s="344">
        <f>D9*E9</f>
        <v>0</v>
      </c>
    </row>
    <row r="10" spans="1:7" ht="16.2" thickBot="1">
      <c r="A10" s="350"/>
      <c r="B10" s="351" t="s">
        <v>417</v>
      </c>
      <c r="C10" s="335"/>
      <c r="D10" s="336"/>
      <c r="E10" s="352"/>
      <c r="F10" s="353">
        <f>F9</f>
        <v>0</v>
      </c>
    </row>
    <row r="11" spans="1:7" ht="15.6">
      <c r="A11" s="354">
        <v>2</v>
      </c>
      <c r="B11" s="355" t="s">
        <v>418</v>
      </c>
      <c r="C11" s="356"/>
      <c r="D11" s="357"/>
      <c r="E11" s="358"/>
      <c r="F11" s="344"/>
    </row>
    <row r="12" spans="1:7" ht="15">
      <c r="A12" s="346" t="s">
        <v>79</v>
      </c>
      <c r="B12" s="347" t="s">
        <v>80</v>
      </c>
      <c r="C12" s="342"/>
      <c r="D12" s="348"/>
      <c r="E12" s="344"/>
      <c r="F12" s="344"/>
    </row>
    <row r="13" spans="1:7" ht="15">
      <c r="A13" s="346" t="s">
        <v>81</v>
      </c>
      <c r="B13" s="347" t="s">
        <v>419</v>
      </c>
      <c r="C13" s="342" t="s">
        <v>10</v>
      </c>
      <c r="D13" s="348">
        <v>0</v>
      </c>
      <c r="E13" s="344"/>
      <c r="F13" s="344">
        <f>D13*E13</f>
        <v>0</v>
      </c>
    </row>
    <row r="14" spans="1:7" ht="17.55" customHeight="1">
      <c r="A14" s="346" t="s">
        <v>82</v>
      </c>
      <c r="B14" s="347" t="s">
        <v>83</v>
      </c>
      <c r="C14" s="342" t="s">
        <v>10</v>
      </c>
      <c r="D14" s="348">
        <v>0</v>
      </c>
      <c r="E14" s="344"/>
      <c r="F14" s="344">
        <f>D14*E14</f>
        <v>0</v>
      </c>
    </row>
    <row r="15" spans="1:7" ht="17.55" customHeight="1" thickBot="1">
      <c r="A15" s="346" t="s">
        <v>84</v>
      </c>
      <c r="B15" s="347" t="s">
        <v>85</v>
      </c>
      <c r="C15" s="342" t="s">
        <v>10</v>
      </c>
      <c r="D15" s="348">
        <v>0</v>
      </c>
      <c r="E15" s="344"/>
      <c r="F15" s="344">
        <f>D15*E15</f>
        <v>0</v>
      </c>
    </row>
    <row r="16" spans="1:7" ht="17.55" customHeight="1" thickBot="1">
      <c r="A16" s="350"/>
      <c r="B16" s="359" t="s">
        <v>420</v>
      </c>
      <c r="C16" s="335"/>
      <c r="D16" s="336"/>
      <c r="E16" s="353"/>
      <c r="F16" s="353">
        <f>SUM(F13:F15)</f>
        <v>0</v>
      </c>
    </row>
    <row r="17" spans="1:6" ht="17.55" customHeight="1">
      <c r="A17" s="360" t="s">
        <v>16</v>
      </c>
      <c r="B17" s="361" t="s">
        <v>292</v>
      </c>
      <c r="C17" s="362"/>
      <c r="D17" s="343"/>
      <c r="E17" s="345"/>
      <c r="F17" s="344"/>
    </row>
    <row r="18" spans="1:6" ht="17.55" customHeight="1">
      <c r="A18" s="363" t="s">
        <v>17</v>
      </c>
      <c r="B18" s="364" t="s">
        <v>421</v>
      </c>
      <c r="C18" s="342"/>
      <c r="D18" s="348"/>
      <c r="E18" s="344"/>
      <c r="F18" s="344"/>
    </row>
    <row r="19" spans="1:6" ht="17.55" customHeight="1">
      <c r="A19" s="365" t="s">
        <v>86</v>
      </c>
      <c r="B19" s="366" t="s">
        <v>87</v>
      </c>
      <c r="C19" s="342" t="s">
        <v>10</v>
      </c>
      <c r="D19" s="348">
        <v>0</v>
      </c>
      <c r="E19" s="344"/>
      <c r="F19" s="344">
        <f>D19*E19</f>
        <v>0</v>
      </c>
    </row>
    <row r="20" spans="1:6" ht="17.55" customHeight="1">
      <c r="A20" s="365" t="s">
        <v>88</v>
      </c>
      <c r="B20" s="366" t="s">
        <v>422</v>
      </c>
      <c r="C20" s="342"/>
      <c r="D20" s="348"/>
      <c r="E20" s="344"/>
      <c r="F20" s="344"/>
    </row>
    <row r="21" spans="1:6" ht="17.55" customHeight="1">
      <c r="A21" s="365" t="s">
        <v>190</v>
      </c>
      <c r="B21" s="366" t="s">
        <v>20</v>
      </c>
      <c r="C21" s="342" t="s">
        <v>10</v>
      </c>
      <c r="D21" s="348">
        <v>0</v>
      </c>
      <c r="E21" s="344"/>
      <c r="F21" s="344">
        <f t="shared" ref="F21:F88" si="0">D21*E21</f>
        <v>0</v>
      </c>
    </row>
    <row r="22" spans="1:6" ht="17.55" customHeight="1">
      <c r="A22" s="365" t="s">
        <v>423</v>
      </c>
      <c r="B22" s="366" t="s">
        <v>424</v>
      </c>
      <c r="C22" s="342" t="s">
        <v>23</v>
      </c>
      <c r="D22" s="348">
        <f>D21*40</f>
        <v>0</v>
      </c>
      <c r="E22" s="344"/>
      <c r="F22" s="344">
        <f t="shared" si="0"/>
        <v>0</v>
      </c>
    </row>
    <row r="23" spans="1:6" ht="17.55" customHeight="1">
      <c r="A23" s="365" t="s">
        <v>425</v>
      </c>
      <c r="B23" s="366" t="s">
        <v>426</v>
      </c>
      <c r="C23" s="342" t="s">
        <v>4</v>
      </c>
      <c r="D23" s="348">
        <v>0</v>
      </c>
      <c r="E23" s="344"/>
      <c r="F23" s="344">
        <f t="shared" si="0"/>
        <v>0</v>
      </c>
    </row>
    <row r="24" spans="1:6" ht="30" customHeight="1">
      <c r="A24" s="365" t="s">
        <v>89</v>
      </c>
      <c r="B24" s="367" t="s">
        <v>427</v>
      </c>
      <c r="C24" s="342"/>
      <c r="D24" s="348"/>
      <c r="E24" s="344"/>
      <c r="F24" s="344"/>
    </row>
    <row r="25" spans="1:6" ht="17.55" customHeight="1">
      <c r="A25" s="365" t="s">
        <v>193</v>
      </c>
      <c r="B25" s="366" t="s">
        <v>20</v>
      </c>
      <c r="C25" s="342" t="s">
        <v>10</v>
      </c>
      <c r="D25" s="348">
        <v>0</v>
      </c>
      <c r="E25" s="344"/>
      <c r="F25" s="344">
        <f t="shared" si="0"/>
        <v>0</v>
      </c>
    </row>
    <row r="26" spans="1:6" ht="17.55" customHeight="1">
      <c r="A26" s="365" t="s">
        <v>191</v>
      </c>
      <c r="B26" s="366" t="s">
        <v>352</v>
      </c>
      <c r="C26" s="342" t="s">
        <v>23</v>
      </c>
      <c r="D26" s="348">
        <f>D25*80</f>
        <v>0</v>
      </c>
      <c r="E26" s="344"/>
      <c r="F26" s="344">
        <f t="shared" si="0"/>
        <v>0</v>
      </c>
    </row>
    <row r="27" spans="1:6" ht="17.55" customHeight="1">
      <c r="A27" s="365" t="s">
        <v>194</v>
      </c>
      <c r="B27" s="366" t="s">
        <v>21</v>
      </c>
      <c r="C27" s="342" t="s">
        <v>4</v>
      </c>
      <c r="D27" s="348">
        <f>D25*12</f>
        <v>0</v>
      </c>
      <c r="E27" s="344"/>
      <c r="F27" s="344">
        <f t="shared" si="0"/>
        <v>0</v>
      </c>
    </row>
    <row r="28" spans="1:6" ht="17.55" customHeight="1">
      <c r="A28" s="365" t="s">
        <v>90</v>
      </c>
      <c r="B28" s="366" t="s">
        <v>428</v>
      </c>
      <c r="C28" s="342"/>
      <c r="D28" s="348"/>
      <c r="E28" s="344"/>
      <c r="F28" s="344"/>
    </row>
    <row r="29" spans="1:6" ht="17.55" customHeight="1">
      <c r="A29" s="365" t="s">
        <v>196</v>
      </c>
      <c r="B29" s="366" t="s">
        <v>20</v>
      </c>
      <c r="C29" s="342" t="s">
        <v>10</v>
      </c>
      <c r="D29" s="348">
        <v>0</v>
      </c>
      <c r="E29" s="344"/>
      <c r="F29" s="344">
        <f t="shared" si="0"/>
        <v>0</v>
      </c>
    </row>
    <row r="30" spans="1:6" ht="15">
      <c r="A30" s="365" t="s">
        <v>197</v>
      </c>
      <c r="B30" s="366" t="s">
        <v>22</v>
      </c>
      <c r="C30" s="342" t="s">
        <v>23</v>
      </c>
      <c r="D30" s="348">
        <f>D29*80</f>
        <v>0</v>
      </c>
      <c r="E30" s="344"/>
      <c r="F30" s="344">
        <f t="shared" si="0"/>
        <v>0</v>
      </c>
    </row>
    <row r="31" spans="1:6" ht="15">
      <c r="A31" s="365" t="s">
        <v>198</v>
      </c>
      <c r="B31" s="366" t="s">
        <v>21</v>
      </c>
      <c r="C31" s="342" t="s">
        <v>4</v>
      </c>
      <c r="D31" s="348">
        <f>D29*12</f>
        <v>0</v>
      </c>
      <c r="E31" s="344"/>
      <c r="F31" s="344">
        <f t="shared" si="0"/>
        <v>0</v>
      </c>
    </row>
    <row r="32" spans="1:6" ht="15">
      <c r="A32" s="365" t="s">
        <v>91</v>
      </c>
      <c r="B32" s="366" t="s">
        <v>429</v>
      </c>
      <c r="C32" s="342" t="s">
        <v>4</v>
      </c>
      <c r="D32" s="348">
        <v>0</v>
      </c>
      <c r="E32" s="344"/>
      <c r="F32" s="344">
        <f t="shared" si="0"/>
        <v>0</v>
      </c>
    </row>
    <row r="33" spans="1:7" s="368" customFormat="1" ht="15">
      <c r="A33" s="365" t="s">
        <v>92</v>
      </c>
      <c r="B33" s="366" t="s">
        <v>430</v>
      </c>
      <c r="C33" s="342"/>
      <c r="D33" s="348"/>
      <c r="E33" s="344"/>
      <c r="F33" s="344"/>
      <c r="G33" s="324"/>
    </row>
    <row r="34" spans="1:7" s="368" customFormat="1" ht="15">
      <c r="A34" s="365" t="s">
        <v>201</v>
      </c>
      <c r="B34" s="369" t="s">
        <v>431</v>
      </c>
      <c r="C34" s="342" t="s">
        <v>4</v>
      </c>
      <c r="D34" s="348">
        <f>7*8*4+32.75*1.5</f>
        <v>273.125</v>
      </c>
      <c r="E34" s="344"/>
      <c r="F34" s="344">
        <f>D34*E34</f>
        <v>0</v>
      </c>
      <c r="G34" s="324"/>
    </row>
    <row r="35" spans="1:7" ht="15">
      <c r="A35" s="365" t="s">
        <v>432</v>
      </c>
      <c r="B35" s="369" t="s">
        <v>433</v>
      </c>
      <c r="C35" s="370" t="s">
        <v>10</v>
      </c>
      <c r="D35" s="371">
        <f>D34*0.1</f>
        <v>27.3125</v>
      </c>
      <c r="E35" s="349"/>
      <c r="F35" s="344">
        <f>D35*E35</f>
        <v>0</v>
      </c>
    </row>
    <row r="36" spans="1:7" ht="15">
      <c r="A36" s="365" t="s">
        <v>434</v>
      </c>
      <c r="B36" s="366" t="s">
        <v>435</v>
      </c>
      <c r="C36" s="342" t="s">
        <v>23</v>
      </c>
      <c r="D36" s="348">
        <f>D34*3</f>
        <v>819.375</v>
      </c>
      <c r="E36" s="344"/>
      <c r="F36" s="344">
        <f t="shared" si="0"/>
        <v>0</v>
      </c>
    </row>
    <row r="37" spans="1:7" ht="15">
      <c r="A37" s="365" t="s">
        <v>436</v>
      </c>
      <c r="B37" s="366" t="s">
        <v>93</v>
      </c>
      <c r="C37" s="342" t="s">
        <v>4</v>
      </c>
      <c r="D37" s="348">
        <f>D34</f>
        <v>273.125</v>
      </c>
      <c r="E37" s="344"/>
      <c r="F37" s="344">
        <f t="shared" si="0"/>
        <v>0</v>
      </c>
    </row>
    <row r="38" spans="1:7" ht="15.6">
      <c r="A38" s="365" t="s">
        <v>94</v>
      </c>
      <c r="B38" s="372" t="s">
        <v>95</v>
      </c>
      <c r="C38" s="342"/>
      <c r="D38" s="342"/>
      <c r="E38" s="344"/>
      <c r="F38" s="344"/>
    </row>
    <row r="39" spans="1:7" ht="45">
      <c r="A39" s="365" t="s">
        <v>437</v>
      </c>
      <c r="B39" s="373" t="s">
        <v>438</v>
      </c>
      <c r="C39" s="342" t="s">
        <v>4</v>
      </c>
      <c r="D39" s="342">
        <f>32.75*0.44*2</f>
        <v>28.82</v>
      </c>
      <c r="E39" s="344"/>
      <c r="F39" s="344">
        <f>D39*E39</f>
        <v>0</v>
      </c>
    </row>
    <row r="40" spans="1:7" ht="15">
      <c r="A40" s="365" t="s">
        <v>439</v>
      </c>
      <c r="B40" s="369" t="s">
        <v>96</v>
      </c>
      <c r="C40" s="342" t="s">
        <v>10</v>
      </c>
      <c r="D40" s="342">
        <f>32.75*0.4*0.4</f>
        <v>5.2400000000000011</v>
      </c>
      <c r="E40" s="344"/>
      <c r="F40" s="344">
        <f>D40*E40</f>
        <v>0</v>
      </c>
    </row>
    <row r="41" spans="1:7" ht="15">
      <c r="A41" s="365" t="s">
        <v>440</v>
      </c>
      <c r="B41" s="369" t="s">
        <v>97</v>
      </c>
      <c r="C41" s="342" t="s">
        <v>10</v>
      </c>
      <c r="D41" s="342">
        <f>32.75*0.4*0.1</f>
        <v>1.3100000000000003</v>
      </c>
      <c r="E41" s="344"/>
      <c r="F41" s="344">
        <f>D41*E41</f>
        <v>0</v>
      </c>
    </row>
    <row r="42" spans="1:7" ht="15.6">
      <c r="A42" s="365" t="s">
        <v>94</v>
      </c>
      <c r="B42" s="372" t="s">
        <v>441</v>
      </c>
      <c r="C42" s="342"/>
      <c r="D42" s="342"/>
      <c r="E42" s="344"/>
      <c r="F42" s="344"/>
    </row>
    <row r="43" spans="1:7" ht="45">
      <c r="A43" s="365" t="s">
        <v>437</v>
      </c>
      <c r="B43" s="373" t="s">
        <v>442</v>
      </c>
      <c r="C43" s="342" t="s">
        <v>4</v>
      </c>
      <c r="D43" s="342">
        <f>32.75*1.5</f>
        <v>49.125</v>
      </c>
      <c r="E43" s="344"/>
      <c r="F43" s="344">
        <f t="shared" si="0"/>
        <v>0</v>
      </c>
    </row>
    <row r="44" spans="1:7" ht="15.6" hidden="1">
      <c r="A44" s="363" t="s">
        <v>24</v>
      </c>
      <c r="B44" s="364" t="s">
        <v>443</v>
      </c>
      <c r="C44" s="356"/>
      <c r="D44" s="348"/>
      <c r="E44" s="374"/>
      <c r="F44" s="344"/>
    </row>
    <row r="45" spans="1:7" ht="15" hidden="1">
      <c r="A45" s="365" t="s">
        <v>26</v>
      </c>
      <c r="B45" s="366" t="s">
        <v>444</v>
      </c>
      <c r="C45" s="342" t="s">
        <v>4</v>
      </c>
      <c r="D45" s="415">
        <f>(5.9*0.6*2+6.35*0.6*2)*0</f>
        <v>0</v>
      </c>
      <c r="E45" s="344"/>
      <c r="F45" s="344">
        <f>D45*E45</f>
        <v>0</v>
      </c>
    </row>
    <row r="46" spans="1:7" ht="15" hidden="1">
      <c r="A46" s="365" t="s">
        <v>26</v>
      </c>
      <c r="B46" s="366" t="s">
        <v>445</v>
      </c>
      <c r="C46" s="342" t="s">
        <v>4</v>
      </c>
      <c r="D46" s="415">
        <f>((3.65*2+5.9*2+24.3*3)*0.66+2*6.35*1+5.9*1*2)*0</f>
        <v>0</v>
      </c>
      <c r="E46" s="344"/>
      <c r="F46" s="344">
        <f>D46*E46</f>
        <v>0</v>
      </c>
    </row>
    <row r="47" spans="1:7" ht="15" hidden="1">
      <c r="A47" s="365" t="s">
        <v>26</v>
      </c>
      <c r="B47" s="366" t="s">
        <v>446</v>
      </c>
      <c r="C47" s="342" t="s">
        <v>182</v>
      </c>
      <c r="D47" s="415">
        <v>0</v>
      </c>
      <c r="E47" s="344"/>
      <c r="F47" s="344">
        <f t="shared" si="0"/>
        <v>0</v>
      </c>
    </row>
    <row r="48" spans="1:7" ht="15" hidden="1">
      <c r="A48" s="365" t="s">
        <v>381</v>
      </c>
      <c r="B48" s="366" t="s">
        <v>447</v>
      </c>
      <c r="C48" s="342" t="s">
        <v>4</v>
      </c>
      <c r="D48" s="415">
        <f>16*3*0.15*0</f>
        <v>0</v>
      </c>
      <c r="E48" s="344"/>
      <c r="F48" s="344">
        <f>D48*E48</f>
        <v>0</v>
      </c>
    </row>
    <row r="49" spans="1:6" ht="30" hidden="1">
      <c r="A49" s="365" t="s">
        <v>382</v>
      </c>
      <c r="B49" s="367" t="s">
        <v>448</v>
      </c>
      <c r="C49" s="342"/>
      <c r="D49" s="348"/>
      <c r="E49" s="344"/>
      <c r="F49" s="344"/>
    </row>
    <row r="50" spans="1:6" ht="15" hidden="1">
      <c r="A50" s="365" t="s">
        <v>449</v>
      </c>
      <c r="B50" s="366" t="s">
        <v>20</v>
      </c>
      <c r="C50" s="342" t="s">
        <v>10</v>
      </c>
      <c r="D50" s="415">
        <f>16*4*0.15*0.2*0</f>
        <v>0</v>
      </c>
      <c r="E50" s="344"/>
      <c r="F50" s="344">
        <f t="shared" si="0"/>
        <v>0</v>
      </c>
    </row>
    <row r="51" spans="1:6" ht="15" hidden="1">
      <c r="A51" s="365" t="s">
        <v>450</v>
      </c>
      <c r="B51" s="366" t="s">
        <v>22</v>
      </c>
      <c r="C51" s="342" t="s">
        <v>23</v>
      </c>
      <c r="D51" s="415">
        <f>D50*80</f>
        <v>0</v>
      </c>
      <c r="E51" s="344"/>
      <c r="F51" s="344">
        <f t="shared" si="0"/>
        <v>0</v>
      </c>
    </row>
    <row r="52" spans="1:6" ht="15" hidden="1">
      <c r="A52" s="365" t="s">
        <v>451</v>
      </c>
      <c r="B52" s="366" t="s">
        <v>21</v>
      </c>
      <c r="C52" s="342" t="s">
        <v>4</v>
      </c>
      <c r="D52" s="415">
        <f>D50*12</f>
        <v>0</v>
      </c>
      <c r="E52" s="344"/>
      <c r="F52" s="344">
        <f t="shared" si="0"/>
        <v>0</v>
      </c>
    </row>
    <row r="53" spans="1:6" ht="15" hidden="1">
      <c r="A53" s="365" t="s">
        <v>27</v>
      </c>
      <c r="B53" s="366" t="s">
        <v>99</v>
      </c>
      <c r="C53" s="342"/>
      <c r="D53" s="348"/>
      <c r="E53" s="344"/>
      <c r="F53" s="344"/>
    </row>
    <row r="54" spans="1:6" ht="15" hidden="1">
      <c r="A54" s="365" t="s">
        <v>209</v>
      </c>
      <c r="B54" s="366" t="s">
        <v>20</v>
      </c>
      <c r="C54" s="342" t="s">
        <v>10</v>
      </c>
      <c r="D54" s="348">
        <v>0</v>
      </c>
      <c r="E54" s="344"/>
      <c r="F54" s="344">
        <f t="shared" si="0"/>
        <v>0</v>
      </c>
    </row>
    <row r="55" spans="1:6" ht="15" hidden="1">
      <c r="A55" s="365" t="s">
        <v>210</v>
      </c>
      <c r="B55" s="366" t="s">
        <v>22</v>
      </c>
      <c r="C55" s="342" t="s">
        <v>23</v>
      </c>
      <c r="D55" s="348">
        <f>D54*80</f>
        <v>0</v>
      </c>
      <c r="E55" s="344"/>
      <c r="F55" s="344">
        <f t="shared" si="0"/>
        <v>0</v>
      </c>
    </row>
    <row r="56" spans="1:6" ht="15" hidden="1">
      <c r="A56" s="365" t="s">
        <v>211</v>
      </c>
      <c r="B56" s="366" t="s">
        <v>100</v>
      </c>
      <c r="C56" s="342" t="s">
        <v>4</v>
      </c>
      <c r="D56" s="348">
        <f>D54*2</f>
        <v>0</v>
      </c>
      <c r="E56" s="344"/>
      <c r="F56" s="344">
        <f t="shared" si="0"/>
        <v>0</v>
      </c>
    </row>
    <row r="57" spans="1:6" ht="15" hidden="1">
      <c r="A57" s="365" t="s">
        <v>101</v>
      </c>
      <c r="B57" s="366" t="s">
        <v>452</v>
      </c>
      <c r="C57" s="342"/>
      <c r="D57" s="348"/>
      <c r="E57" s="344"/>
      <c r="F57" s="344">
        <f t="shared" si="0"/>
        <v>0</v>
      </c>
    </row>
    <row r="58" spans="1:6" ht="15" hidden="1">
      <c r="A58" s="365" t="s">
        <v>453</v>
      </c>
      <c r="B58" s="366" t="s">
        <v>20</v>
      </c>
      <c r="C58" s="342" t="s">
        <v>10</v>
      </c>
      <c r="D58" s="348">
        <v>0</v>
      </c>
      <c r="E58" s="344"/>
      <c r="F58" s="344">
        <f t="shared" si="0"/>
        <v>0</v>
      </c>
    </row>
    <row r="59" spans="1:6" ht="15" hidden="1">
      <c r="A59" s="365" t="s">
        <v>454</v>
      </c>
      <c r="B59" s="366" t="s">
        <v>455</v>
      </c>
      <c r="C59" s="342" t="s">
        <v>23</v>
      </c>
      <c r="D59" s="348">
        <v>0</v>
      </c>
      <c r="E59" s="344"/>
      <c r="F59" s="344">
        <f t="shared" si="0"/>
        <v>0</v>
      </c>
    </row>
    <row r="60" spans="1:6" ht="15" hidden="1">
      <c r="A60" s="365" t="s">
        <v>456</v>
      </c>
      <c r="B60" s="366" t="s">
        <v>100</v>
      </c>
      <c r="C60" s="342" t="s">
        <v>4</v>
      </c>
      <c r="D60" s="348">
        <v>0</v>
      </c>
      <c r="E60" s="344"/>
      <c r="F60" s="344">
        <f t="shared" si="0"/>
        <v>0</v>
      </c>
    </row>
    <row r="61" spans="1:6" ht="15">
      <c r="A61" s="365" t="s">
        <v>28</v>
      </c>
      <c r="B61" s="366" t="s">
        <v>457</v>
      </c>
      <c r="C61" s="342"/>
      <c r="D61" s="348"/>
      <c r="E61" s="344"/>
      <c r="F61" s="344"/>
    </row>
    <row r="62" spans="1:6" ht="15">
      <c r="A62" s="365"/>
      <c r="B62" s="366" t="s">
        <v>458</v>
      </c>
      <c r="C62" s="342"/>
      <c r="D62" s="348"/>
      <c r="E62" s="344"/>
      <c r="F62" s="344"/>
    </row>
    <row r="63" spans="1:6" s="376" customFormat="1" ht="15">
      <c r="A63" s="375" t="s">
        <v>459</v>
      </c>
      <c r="B63" s="369" t="s">
        <v>20</v>
      </c>
      <c r="C63" s="370" t="s">
        <v>10</v>
      </c>
      <c r="D63" s="371">
        <f>10*4*0.15*0.1</f>
        <v>0.60000000000000009</v>
      </c>
      <c r="E63" s="349"/>
      <c r="F63" s="349">
        <f t="shared" si="0"/>
        <v>0</v>
      </c>
    </row>
    <row r="64" spans="1:6" ht="15">
      <c r="A64" s="365" t="s">
        <v>460</v>
      </c>
      <c r="B64" s="366" t="s">
        <v>22</v>
      </c>
      <c r="C64" s="342" t="s">
        <v>23</v>
      </c>
      <c r="D64" s="348">
        <f>D63*80</f>
        <v>48.000000000000007</v>
      </c>
      <c r="E64" s="344"/>
      <c r="F64" s="344">
        <f t="shared" si="0"/>
        <v>0</v>
      </c>
    </row>
    <row r="65" spans="1:6" ht="15">
      <c r="A65" s="365" t="s">
        <v>461</v>
      </c>
      <c r="B65" s="366" t="s">
        <v>100</v>
      </c>
      <c r="C65" s="342" t="s">
        <v>4</v>
      </c>
      <c r="D65" s="348">
        <f>D63*2</f>
        <v>1.2000000000000002</v>
      </c>
      <c r="E65" s="344"/>
      <c r="F65" s="344">
        <f t="shared" si="0"/>
        <v>0</v>
      </c>
    </row>
    <row r="66" spans="1:6" ht="15" hidden="1">
      <c r="A66" s="365" t="s">
        <v>29</v>
      </c>
      <c r="B66" s="366" t="s">
        <v>462</v>
      </c>
      <c r="C66" s="342"/>
      <c r="D66" s="348"/>
      <c r="E66" s="344"/>
      <c r="F66" s="344">
        <f t="shared" si="0"/>
        <v>0</v>
      </c>
    </row>
    <row r="67" spans="1:6" ht="15" hidden="1">
      <c r="A67" s="365" t="s">
        <v>213</v>
      </c>
      <c r="B67" s="366" t="s">
        <v>20</v>
      </c>
      <c r="C67" s="342" t="s">
        <v>10</v>
      </c>
      <c r="D67" s="348">
        <v>0</v>
      </c>
      <c r="E67" s="344"/>
      <c r="F67" s="344">
        <f t="shared" si="0"/>
        <v>0</v>
      </c>
    </row>
    <row r="68" spans="1:6" ht="15" hidden="1">
      <c r="A68" s="365" t="s">
        <v>214</v>
      </c>
      <c r="B68" s="366" t="s">
        <v>22</v>
      </c>
      <c r="C68" s="342" t="s">
        <v>23</v>
      </c>
      <c r="D68" s="348">
        <v>0</v>
      </c>
      <c r="E68" s="344"/>
      <c r="F68" s="344">
        <f t="shared" si="0"/>
        <v>0</v>
      </c>
    </row>
    <row r="69" spans="1:6" ht="15.6" hidden="1" thickBot="1">
      <c r="A69" s="377" t="s">
        <v>215</v>
      </c>
      <c r="B69" s="378" t="s">
        <v>100</v>
      </c>
      <c r="C69" s="379" t="s">
        <v>4</v>
      </c>
      <c r="D69" s="348">
        <v>0</v>
      </c>
      <c r="E69" s="344"/>
      <c r="F69" s="344">
        <f t="shared" si="0"/>
        <v>0</v>
      </c>
    </row>
    <row r="70" spans="1:6" ht="15">
      <c r="A70" s="365" t="s">
        <v>216</v>
      </c>
      <c r="B70" s="366" t="s">
        <v>33</v>
      </c>
      <c r="C70" s="342"/>
      <c r="D70" s="348"/>
      <c r="E70" s="344"/>
      <c r="F70" s="344"/>
    </row>
    <row r="71" spans="1:6" ht="15">
      <c r="A71" s="365" t="s">
        <v>217</v>
      </c>
      <c r="B71" s="366" t="s">
        <v>463</v>
      </c>
      <c r="C71" s="342" t="s">
        <v>4</v>
      </c>
      <c r="D71" s="348">
        <f>D47*2*1.1*0</f>
        <v>0</v>
      </c>
      <c r="E71" s="344"/>
      <c r="F71" s="344">
        <f t="shared" si="0"/>
        <v>0</v>
      </c>
    </row>
    <row r="72" spans="1:6" ht="15">
      <c r="A72" s="365" t="s">
        <v>464</v>
      </c>
      <c r="B72" s="366" t="s">
        <v>465</v>
      </c>
      <c r="C72" s="342" t="s">
        <v>4</v>
      </c>
      <c r="D72" s="348">
        <v>0</v>
      </c>
      <c r="E72" s="344"/>
      <c r="F72" s="344">
        <f t="shared" si="0"/>
        <v>0</v>
      </c>
    </row>
    <row r="73" spans="1:6" ht="15">
      <c r="A73" s="365" t="s">
        <v>466</v>
      </c>
      <c r="B73" s="366" t="s">
        <v>103</v>
      </c>
      <c r="C73" s="342"/>
      <c r="D73" s="348"/>
      <c r="E73" s="344"/>
      <c r="F73" s="344"/>
    </row>
    <row r="74" spans="1:6" s="376" customFormat="1" ht="15" hidden="1">
      <c r="A74" s="375"/>
      <c r="B74" s="369" t="s">
        <v>467</v>
      </c>
      <c r="C74" s="370" t="s">
        <v>4</v>
      </c>
      <c r="D74" s="380">
        <v>0</v>
      </c>
      <c r="E74" s="349"/>
      <c r="F74" s="349">
        <f>D74*E74</f>
        <v>0</v>
      </c>
    </row>
    <row r="75" spans="1:6" ht="17.399999999999999" hidden="1">
      <c r="A75" s="365" t="s">
        <v>466</v>
      </c>
      <c r="B75" s="366" t="s">
        <v>468</v>
      </c>
      <c r="C75" s="342" t="s">
        <v>104</v>
      </c>
      <c r="D75" s="381">
        <v>0</v>
      </c>
      <c r="E75" s="344"/>
      <c r="F75" s="344">
        <f t="shared" si="0"/>
        <v>0</v>
      </c>
    </row>
    <row r="76" spans="1:6" ht="15.6">
      <c r="A76" s="363" t="s">
        <v>6</v>
      </c>
      <c r="B76" s="364" t="s">
        <v>34</v>
      </c>
      <c r="C76" s="342"/>
      <c r="D76" s="348"/>
      <c r="E76" s="344"/>
      <c r="F76" s="344"/>
    </row>
    <row r="77" spans="1:6" ht="15">
      <c r="A77" s="365" t="s">
        <v>221</v>
      </c>
      <c r="B77" s="366" t="s">
        <v>469</v>
      </c>
      <c r="C77" s="342" t="s">
        <v>9</v>
      </c>
      <c r="D77" s="348">
        <v>5</v>
      </c>
      <c r="E77" s="344"/>
      <c r="F77" s="344">
        <f t="shared" si="0"/>
        <v>0</v>
      </c>
    </row>
    <row r="78" spans="1:6" ht="15">
      <c r="A78" s="365" t="s">
        <v>221</v>
      </c>
      <c r="B78" s="366" t="s">
        <v>470</v>
      </c>
      <c r="C78" s="342" t="s">
        <v>9</v>
      </c>
      <c r="D78" s="348">
        <v>4</v>
      </c>
      <c r="E78" s="344"/>
      <c r="F78" s="344">
        <f>D78*E78</f>
        <v>0</v>
      </c>
    </row>
    <row r="79" spans="1:6" ht="15.6">
      <c r="A79" s="365" t="s">
        <v>30</v>
      </c>
      <c r="B79" s="364" t="s">
        <v>35</v>
      </c>
      <c r="C79" s="342"/>
      <c r="D79" s="348"/>
      <c r="E79" s="344"/>
      <c r="F79" s="344"/>
    </row>
    <row r="80" spans="1:6" ht="15">
      <c r="A80" s="365" t="s">
        <v>471</v>
      </c>
      <c r="B80" s="366" t="s">
        <v>472</v>
      </c>
      <c r="C80" s="342" t="s">
        <v>182</v>
      </c>
      <c r="D80" s="348">
        <v>1</v>
      </c>
      <c r="E80" s="344"/>
      <c r="F80" s="344">
        <f>D80*E80</f>
        <v>0</v>
      </c>
    </row>
    <row r="81" spans="1:6" ht="15">
      <c r="A81" s="365" t="s">
        <v>471</v>
      </c>
      <c r="B81" s="366" t="s">
        <v>105</v>
      </c>
      <c r="C81" s="342" t="s">
        <v>10</v>
      </c>
      <c r="D81" s="382">
        <v>3.87</v>
      </c>
      <c r="E81" s="344"/>
      <c r="F81" s="344">
        <f t="shared" si="0"/>
        <v>0</v>
      </c>
    </row>
    <row r="82" spans="1:6" ht="15">
      <c r="A82" s="365" t="s">
        <v>473</v>
      </c>
      <c r="B82" s="347" t="s">
        <v>474</v>
      </c>
      <c r="C82" s="342" t="s">
        <v>10</v>
      </c>
      <c r="D82" s="382">
        <v>1.718</v>
      </c>
      <c r="E82" s="344"/>
      <c r="F82" s="344">
        <f t="shared" si="0"/>
        <v>0</v>
      </c>
    </row>
    <row r="83" spans="1:6" ht="15">
      <c r="A83" s="365" t="s">
        <v>475</v>
      </c>
      <c r="B83" s="366" t="s">
        <v>87</v>
      </c>
      <c r="C83" s="342" t="s">
        <v>10</v>
      </c>
      <c r="D83" s="382">
        <v>0.96799999999999997</v>
      </c>
      <c r="E83" s="344"/>
      <c r="F83" s="344">
        <f t="shared" si="0"/>
        <v>0</v>
      </c>
    </row>
    <row r="84" spans="1:6" ht="15">
      <c r="A84" s="365" t="s">
        <v>223</v>
      </c>
      <c r="B84" s="366" t="s">
        <v>106</v>
      </c>
      <c r="C84" s="342" t="s">
        <v>4</v>
      </c>
      <c r="D84" s="382">
        <v>19.350000000000001</v>
      </c>
      <c r="E84" s="344"/>
      <c r="F84" s="344">
        <f t="shared" si="0"/>
        <v>0</v>
      </c>
    </row>
    <row r="85" spans="1:6" ht="15">
      <c r="A85" s="365" t="s">
        <v>476</v>
      </c>
      <c r="B85" s="366" t="s">
        <v>477</v>
      </c>
      <c r="C85" s="342"/>
      <c r="D85" s="382"/>
      <c r="E85" s="344"/>
      <c r="F85" s="344"/>
    </row>
    <row r="86" spans="1:6" ht="15">
      <c r="A86" s="365" t="s">
        <v>478</v>
      </c>
      <c r="B86" s="366" t="s">
        <v>20</v>
      </c>
      <c r="C86" s="342" t="s">
        <v>10</v>
      </c>
      <c r="D86" s="382">
        <v>1.292</v>
      </c>
      <c r="E86" s="344"/>
      <c r="F86" s="344">
        <f t="shared" si="0"/>
        <v>0</v>
      </c>
    </row>
    <row r="87" spans="1:6" ht="15">
      <c r="A87" s="365" t="s">
        <v>479</v>
      </c>
      <c r="B87" s="366" t="s">
        <v>100</v>
      </c>
      <c r="C87" s="342" t="s">
        <v>4</v>
      </c>
      <c r="D87" s="382">
        <v>2.58</v>
      </c>
      <c r="E87" s="344"/>
      <c r="F87" s="344">
        <f t="shared" si="0"/>
        <v>0</v>
      </c>
    </row>
    <row r="88" spans="1:6" ht="15">
      <c r="A88" s="365" t="s">
        <v>480</v>
      </c>
      <c r="B88" s="366" t="s">
        <v>481</v>
      </c>
      <c r="C88" s="342" t="s">
        <v>4</v>
      </c>
      <c r="D88" s="382">
        <v>7.09</v>
      </c>
      <c r="E88" s="344"/>
      <c r="F88" s="344">
        <f t="shared" si="0"/>
        <v>0</v>
      </c>
    </row>
    <row r="89" spans="1:6" ht="15.6">
      <c r="A89" s="365" t="s">
        <v>31</v>
      </c>
      <c r="B89" s="364" t="s">
        <v>36</v>
      </c>
      <c r="C89" s="342"/>
      <c r="D89" s="348"/>
      <c r="E89" s="344"/>
      <c r="F89" s="344"/>
    </row>
    <row r="90" spans="1:6" ht="15">
      <c r="A90" s="365" t="s">
        <v>482</v>
      </c>
      <c r="B90" s="366" t="s">
        <v>105</v>
      </c>
      <c r="C90" s="342" t="s">
        <v>10</v>
      </c>
      <c r="D90" s="348">
        <f>2*2.2*2*0.3</f>
        <v>2.64</v>
      </c>
      <c r="E90" s="344"/>
      <c r="F90" s="344">
        <f t="shared" ref="F90:F123" si="1">D90*E90</f>
        <v>0</v>
      </c>
    </row>
    <row r="91" spans="1:6" ht="15">
      <c r="A91" s="365" t="s">
        <v>483</v>
      </c>
      <c r="B91" s="347" t="s">
        <v>107</v>
      </c>
      <c r="C91" s="342" t="s">
        <v>10</v>
      </c>
      <c r="D91" s="348">
        <f>2*2.2*2*0.05</f>
        <v>0.44000000000000006</v>
      </c>
      <c r="E91" s="344"/>
      <c r="F91" s="344">
        <f t="shared" si="1"/>
        <v>0</v>
      </c>
    </row>
    <row r="92" spans="1:6" ht="15">
      <c r="A92" s="365" t="s">
        <v>484</v>
      </c>
      <c r="B92" s="366" t="s">
        <v>87</v>
      </c>
      <c r="C92" s="342" t="s">
        <v>10</v>
      </c>
      <c r="D92" s="348">
        <f>2*2.2*2*0.05</f>
        <v>0.44000000000000006</v>
      </c>
      <c r="E92" s="344"/>
      <c r="F92" s="344">
        <f t="shared" si="1"/>
        <v>0</v>
      </c>
    </row>
    <row r="93" spans="1:6" ht="15">
      <c r="A93" s="365" t="s">
        <v>485</v>
      </c>
      <c r="B93" s="366" t="s">
        <v>106</v>
      </c>
      <c r="C93" s="342" t="s">
        <v>4</v>
      </c>
      <c r="D93" s="348">
        <f>(2*0.3)*2</f>
        <v>1.2</v>
      </c>
      <c r="E93" s="344"/>
      <c r="F93" s="344">
        <f t="shared" si="1"/>
        <v>0</v>
      </c>
    </row>
    <row r="94" spans="1:6" ht="15">
      <c r="A94" s="365" t="s">
        <v>32</v>
      </c>
      <c r="B94" s="366" t="s">
        <v>486</v>
      </c>
      <c r="C94" s="342"/>
      <c r="D94" s="348"/>
      <c r="E94" s="344"/>
      <c r="F94" s="344"/>
    </row>
    <row r="95" spans="1:6" ht="15">
      <c r="A95" s="365" t="s">
        <v>487</v>
      </c>
      <c r="B95" s="366" t="s">
        <v>20</v>
      </c>
      <c r="C95" s="342" t="s">
        <v>10</v>
      </c>
      <c r="D95" s="348">
        <f>2*2.2*0.15</f>
        <v>0.66</v>
      </c>
      <c r="E95" s="344"/>
      <c r="F95" s="344">
        <f t="shared" si="1"/>
        <v>0</v>
      </c>
    </row>
    <row r="96" spans="1:6" ht="15">
      <c r="A96" s="365" t="s">
        <v>488</v>
      </c>
      <c r="B96" s="366" t="s">
        <v>300</v>
      </c>
      <c r="C96" s="342" t="s">
        <v>23</v>
      </c>
      <c r="D96" s="348">
        <f>D95*12</f>
        <v>7.92</v>
      </c>
      <c r="E96" s="344"/>
      <c r="F96" s="344">
        <f t="shared" si="1"/>
        <v>0</v>
      </c>
    </row>
    <row r="97" spans="1:6" ht="15">
      <c r="A97" s="365" t="s">
        <v>489</v>
      </c>
      <c r="B97" s="366" t="s">
        <v>100</v>
      </c>
      <c r="C97" s="342" t="s">
        <v>4</v>
      </c>
      <c r="D97" s="348">
        <f>D95*2</f>
        <v>1.32</v>
      </c>
      <c r="E97" s="344"/>
      <c r="F97" s="344">
        <f t="shared" si="1"/>
        <v>0</v>
      </c>
    </row>
    <row r="98" spans="1:6" ht="15.6" hidden="1">
      <c r="A98" s="365" t="s">
        <v>108</v>
      </c>
      <c r="B98" s="364" t="s">
        <v>490</v>
      </c>
      <c r="C98" s="342"/>
      <c r="D98" s="348"/>
      <c r="E98" s="344"/>
      <c r="F98" s="344">
        <f t="shared" si="1"/>
        <v>0</v>
      </c>
    </row>
    <row r="99" spans="1:6" ht="15.6" hidden="1">
      <c r="A99" s="365"/>
      <c r="B99" s="364" t="s">
        <v>491</v>
      </c>
      <c r="C99" s="342"/>
      <c r="D99" s="348"/>
      <c r="E99" s="344"/>
      <c r="F99" s="344">
        <f t="shared" si="1"/>
        <v>0</v>
      </c>
    </row>
    <row r="100" spans="1:6" ht="15" hidden="1">
      <c r="A100" s="365" t="s">
        <v>109</v>
      </c>
      <c r="B100" s="366" t="s">
        <v>20</v>
      </c>
      <c r="C100" s="342" t="s">
        <v>10</v>
      </c>
      <c r="D100" s="348">
        <v>0</v>
      </c>
      <c r="E100" s="344"/>
      <c r="F100" s="344">
        <f t="shared" si="1"/>
        <v>0</v>
      </c>
    </row>
    <row r="101" spans="1:6" ht="15" hidden="1">
      <c r="A101" s="365" t="s">
        <v>110</v>
      </c>
      <c r="B101" s="366" t="s">
        <v>300</v>
      </c>
      <c r="C101" s="342" t="s">
        <v>23</v>
      </c>
      <c r="D101" s="348">
        <v>0</v>
      </c>
      <c r="E101" s="344"/>
      <c r="F101" s="344">
        <f t="shared" si="1"/>
        <v>0</v>
      </c>
    </row>
    <row r="102" spans="1:6" ht="15" hidden="1">
      <c r="A102" s="365" t="s">
        <v>111</v>
      </c>
      <c r="B102" s="366" t="s">
        <v>492</v>
      </c>
      <c r="C102" s="342" t="s">
        <v>4</v>
      </c>
      <c r="D102" s="348">
        <v>0</v>
      </c>
      <c r="E102" s="344"/>
      <c r="F102" s="344">
        <f t="shared" si="1"/>
        <v>0</v>
      </c>
    </row>
    <row r="103" spans="1:6" ht="15" hidden="1">
      <c r="A103" s="365" t="s">
        <v>112</v>
      </c>
      <c r="B103" s="366" t="s">
        <v>493</v>
      </c>
      <c r="C103" s="342"/>
      <c r="D103" s="348"/>
      <c r="E103" s="344"/>
      <c r="F103" s="344">
        <f t="shared" si="1"/>
        <v>0</v>
      </c>
    </row>
    <row r="104" spans="1:6" ht="15" hidden="1">
      <c r="A104" s="365" t="s">
        <v>383</v>
      </c>
      <c r="B104" s="366" t="s">
        <v>20</v>
      </c>
      <c r="C104" s="342" t="s">
        <v>10</v>
      </c>
      <c r="D104" s="348">
        <v>0</v>
      </c>
      <c r="E104" s="344"/>
      <c r="F104" s="344">
        <f t="shared" si="1"/>
        <v>0</v>
      </c>
    </row>
    <row r="105" spans="1:6" ht="15" hidden="1">
      <c r="A105" s="365" t="s">
        <v>113</v>
      </c>
      <c r="B105" s="366" t="s">
        <v>300</v>
      </c>
      <c r="C105" s="342" t="s">
        <v>23</v>
      </c>
      <c r="D105" s="348">
        <v>0</v>
      </c>
      <c r="E105" s="344"/>
      <c r="F105" s="344">
        <f t="shared" si="1"/>
        <v>0</v>
      </c>
    </row>
    <row r="106" spans="1:6" ht="15" hidden="1">
      <c r="A106" s="365" t="s">
        <v>284</v>
      </c>
      <c r="B106" s="366" t="s">
        <v>492</v>
      </c>
      <c r="C106" s="342" t="s">
        <v>4</v>
      </c>
      <c r="D106" s="348">
        <v>0</v>
      </c>
      <c r="E106" s="344"/>
      <c r="F106" s="344">
        <f t="shared" si="1"/>
        <v>0</v>
      </c>
    </row>
    <row r="107" spans="1:6" ht="15.6">
      <c r="A107" s="365" t="s">
        <v>494</v>
      </c>
      <c r="B107" s="364" t="s">
        <v>114</v>
      </c>
      <c r="C107" s="342"/>
      <c r="D107" s="348"/>
      <c r="E107" s="344"/>
      <c r="F107" s="344"/>
    </row>
    <row r="108" spans="1:6" ht="15">
      <c r="A108" s="365" t="s">
        <v>495</v>
      </c>
      <c r="B108" s="366" t="s">
        <v>496</v>
      </c>
      <c r="C108" s="342" t="s">
        <v>4</v>
      </c>
      <c r="D108" s="348">
        <f>7*1.4*4</f>
        <v>39.199999999999996</v>
      </c>
      <c r="E108" s="344"/>
      <c r="F108" s="344">
        <f>D108*E108</f>
        <v>0</v>
      </c>
    </row>
    <row r="109" spans="1:6" ht="15">
      <c r="A109" s="365" t="s">
        <v>495</v>
      </c>
      <c r="B109" s="366" t="s">
        <v>497</v>
      </c>
      <c r="C109" s="342" t="s">
        <v>9</v>
      </c>
      <c r="D109" s="348">
        <v>4</v>
      </c>
      <c r="E109" s="344"/>
      <c r="F109" s="344">
        <f t="shared" si="1"/>
        <v>0</v>
      </c>
    </row>
    <row r="110" spans="1:6" ht="15">
      <c r="A110" s="365" t="s">
        <v>495</v>
      </c>
      <c r="B110" s="366" t="s">
        <v>498</v>
      </c>
      <c r="C110" s="342" t="s">
        <v>7</v>
      </c>
      <c r="D110" s="348">
        <f>6*4</f>
        <v>24</v>
      </c>
      <c r="E110" s="344"/>
      <c r="F110" s="344">
        <f>D110*E110</f>
        <v>0</v>
      </c>
    </row>
    <row r="111" spans="1:6" ht="15.6" thickBot="1">
      <c r="A111" s="365" t="s">
        <v>499</v>
      </c>
      <c r="B111" s="366" t="s">
        <v>618</v>
      </c>
      <c r="C111" s="342" t="s">
        <v>9</v>
      </c>
      <c r="D111" s="348">
        <v>5</v>
      </c>
      <c r="E111" s="344"/>
      <c r="F111" s="344">
        <f t="shared" si="1"/>
        <v>0</v>
      </c>
    </row>
    <row r="112" spans="1:6" ht="17.55" customHeight="1" thickBot="1">
      <c r="A112" s="350"/>
      <c r="B112" s="359" t="s">
        <v>115</v>
      </c>
      <c r="C112" s="335"/>
      <c r="D112" s="336"/>
      <c r="E112" s="353"/>
      <c r="F112" s="353">
        <f>SUM(F19:F111)</f>
        <v>0</v>
      </c>
    </row>
    <row r="113" spans="1:6" ht="16.2" thickBot="1">
      <c r="A113" s="350"/>
      <c r="B113" s="351" t="s">
        <v>501</v>
      </c>
      <c r="C113" s="335"/>
      <c r="D113" s="336"/>
      <c r="E113" s="353"/>
      <c r="F113" s="353">
        <f>F16+F112</f>
        <v>0</v>
      </c>
    </row>
    <row r="114" spans="1:6" s="376" customFormat="1" ht="15.6">
      <c r="A114" s="383">
        <v>3</v>
      </c>
      <c r="B114" s="384" t="s">
        <v>502</v>
      </c>
      <c r="C114" s="385"/>
      <c r="D114" s="371"/>
      <c r="E114" s="349"/>
      <c r="F114" s="349"/>
    </row>
    <row r="115" spans="1:6" ht="15">
      <c r="A115" s="365" t="s">
        <v>116</v>
      </c>
      <c r="B115" s="366" t="s">
        <v>117</v>
      </c>
      <c r="C115" s="342"/>
      <c r="D115" s="342"/>
      <c r="E115" s="344"/>
      <c r="F115" s="344"/>
    </row>
    <row r="116" spans="1:6" ht="15">
      <c r="A116" s="346" t="s">
        <v>118</v>
      </c>
      <c r="B116" s="347" t="s">
        <v>620</v>
      </c>
      <c r="C116" s="342" t="s">
        <v>503</v>
      </c>
      <c r="D116" s="370">
        <v>1</v>
      </c>
      <c r="E116" s="386"/>
      <c r="F116" s="344">
        <f>D116*E116</f>
        <v>0</v>
      </c>
    </row>
    <row r="117" spans="1:6" ht="15">
      <c r="A117" s="346" t="s">
        <v>119</v>
      </c>
      <c r="B117" s="347" t="s">
        <v>621</v>
      </c>
      <c r="C117" s="342" t="s">
        <v>503</v>
      </c>
      <c r="D117" s="370">
        <v>1</v>
      </c>
      <c r="E117" s="386"/>
      <c r="F117" s="344">
        <f>D117*E117</f>
        <v>0</v>
      </c>
    </row>
    <row r="118" spans="1:6" ht="15" hidden="1">
      <c r="A118" s="346" t="s">
        <v>121</v>
      </c>
      <c r="B118" s="347" t="s">
        <v>504</v>
      </c>
      <c r="C118" s="342" t="s">
        <v>7</v>
      </c>
      <c r="D118" s="370"/>
      <c r="E118" s="387"/>
      <c r="F118" s="344">
        <f>D118*E118</f>
        <v>0</v>
      </c>
    </row>
    <row r="119" spans="1:6" ht="15" hidden="1">
      <c r="A119" s="346" t="s">
        <v>119</v>
      </c>
      <c r="B119" s="347" t="s">
        <v>505</v>
      </c>
      <c r="C119" s="342" t="s">
        <v>7</v>
      </c>
      <c r="D119" s="370"/>
      <c r="E119" s="387"/>
      <c r="F119" s="344">
        <f t="shared" si="1"/>
        <v>0</v>
      </c>
    </row>
    <row r="120" spans="1:6" ht="15" hidden="1">
      <c r="A120" s="346" t="s">
        <v>506</v>
      </c>
      <c r="B120" s="347" t="s">
        <v>507</v>
      </c>
      <c r="C120" s="342" t="s">
        <v>7</v>
      </c>
      <c r="D120" s="370"/>
      <c r="E120" s="387"/>
      <c r="F120" s="344">
        <f t="shared" si="1"/>
        <v>0</v>
      </c>
    </row>
    <row r="121" spans="1:6" ht="15" hidden="1">
      <c r="A121" s="346" t="s">
        <v>508</v>
      </c>
      <c r="B121" s="347" t="s">
        <v>509</v>
      </c>
      <c r="C121" s="342" t="s">
        <v>7</v>
      </c>
      <c r="D121" s="370"/>
      <c r="E121" s="387"/>
      <c r="F121" s="344">
        <f t="shared" si="1"/>
        <v>0</v>
      </c>
    </row>
    <row r="122" spans="1:6" ht="15" hidden="1">
      <c r="A122" s="346" t="s">
        <v>510</v>
      </c>
      <c r="B122" s="347" t="s">
        <v>511</v>
      </c>
      <c r="C122" s="342" t="s">
        <v>7</v>
      </c>
      <c r="D122" s="370"/>
      <c r="E122" s="387"/>
      <c r="F122" s="344">
        <f t="shared" si="1"/>
        <v>0</v>
      </c>
    </row>
    <row r="123" spans="1:6" ht="15.6" thickBot="1">
      <c r="A123" s="346" t="s">
        <v>512</v>
      </c>
      <c r="B123" s="347" t="s">
        <v>122</v>
      </c>
      <c r="C123" s="342" t="s">
        <v>513</v>
      </c>
      <c r="D123" s="370">
        <v>0</v>
      </c>
      <c r="E123" s="344"/>
      <c r="F123" s="344">
        <f t="shared" si="1"/>
        <v>0</v>
      </c>
    </row>
    <row r="124" spans="1:6" ht="16.2" thickBot="1">
      <c r="A124" s="388"/>
      <c r="B124" s="351" t="s">
        <v>514</v>
      </c>
      <c r="C124" s="389"/>
      <c r="D124" s="390"/>
      <c r="E124" s="391"/>
      <c r="F124" s="353">
        <f>SUM(F116:F123)</f>
        <v>0</v>
      </c>
    </row>
    <row r="125" spans="1:6" ht="15.6">
      <c r="A125" s="392">
        <v>4</v>
      </c>
      <c r="B125" s="372" t="s">
        <v>515</v>
      </c>
      <c r="C125" s="362"/>
      <c r="D125" s="348"/>
      <c r="E125" s="345"/>
      <c r="F125" s="344"/>
    </row>
    <row r="126" spans="1:6" ht="15">
      <c r="A126" s="365" t="s">
        <v>123</v>
      </c>
      <c r="B126" s="366" t="s">
        <v>43</v>
      </c>
      <c r="C126" s="342"/>
      <c r="D126" s="348"/>
      <c r="E126" s="344"/>
      <c r="F126" s="344"/>
    </row>
    <row r="127" spans="1:6" ht="15.6">
      <c r="A127" s="365" t="s">
        <v>124</v>
      </c>
      <c r="B127" s="372" t="s">
        <v>44</v>
      </c>
      <c r="C127" s="342"/>
      <c r="D127" s="348"/>
      <c r="E127" s="344"/>
      <c r="F127" s="344"/>
    </row>
    <row r="128" spans="1:6" ht="15">
      <c r="A128" s="365" t="s">
        <v>516</v>
      </c>
      <c r="B128" s="366" t="s">
        <v>666</v>
      </c>
      <c r="C128" s="342" t="s">
        <v>4</v>
      </c>
      <c r="D128" s="371">
        <f>32.37*10</f>
        <v>323.7</v>
      </c>
      <c r="E128" s="344"/>
      <c r="F128" s="344">
        <f t="shared" ref="F128:F134" si="2">D128*E128</f>
        <v>0</v>
      </c>
    </row>
    <row r="129" spans="1:6" ht="15.6">
      <c r="A129" s="365" t="s">
        <v>125</v>
      </c>
      <c r="B129" s="372" t="s">
        <v>126</v>
      </c>
      <c r="C129" s="342"/>
      <c r="D129" s="371"/>
      <c r="E129" s="344"/>
      <c r="F129" s="344"/>
    </row>
    <row r="130" spans="1:6" ht="15.6">
      <c r="A130" s="365" t="s">
        <v>127</v>
      </c>
      <c r="B130" s="366" t="s">
        <v>667</v>
      </c>
      <c r="C130" s="342" t="s">
        <v>7</v>
      </c>
      <c r="D130" s="371">
        <v>32.369999999999997</v>
      </c>
      <c r="E130" s="344"/>
      <c r="F130" s="344">
        <f t="shared" si="2"/>
        <v>0</v>
      </c>
    </row>
    <row r="131" spans="1:6" ht="15.6">
      <c r="A131" s="365" t="s">
        <v>128</v>
      </c>
      <c r="B131" s="372" t="s">
        <v>322</v>
      </c>
      <c r="C131" s="342"/>
      <c r="D131" s="371"/>
      <c r="E131" s="344"/>
      <c r="F131" s="344"/>
    </row>
    <row r="132" spans="1:6" ht="15" hidden="1">
      <c r="A132" s="393" t="s">
        <v>129</v>
      </c>
      <c r="B132" s="366" t="s">
        <v>324</v>
      </c>
      <c r="C132" s="342" t="s">
        <v>9</v>
      </c>
      <c r="D132" s="371">
        <v>0</v>
      </c>
      <c r="E132" s="344"/>
      <c r="F132" s="344">
        <f t="shared" si="2"/>
        <v>0</v>
      </c>
    </row>
    <row r="133" spans="1:6" ht="15.6">
      <c r="A133" s="365" t="s">
        <v>246</v>
      </c>
      <c r="B133" s="372" t="s">
        <v>130</v>
      </c>
      <c r="C133" s="356"/>
      <c r="D133" s="371"/>
      <c r="E133" s="374"/>
      <c r="F133" s="344"/>
    </row>
    <row r="134" spans="1:6" ht="15.6" thickBot="1">
      <c r="A134" s="377" t="s">
        <v>247</v>
      </c>
      <c r="B134" s="366" t="s">
        <v>364</v>
      </c>
      <c r="C134" s="379" t="s">
        <v>4</v>
      </c>
      <c r="D134" s="371">
        <f>(10*2+32.37*2)*0.4</f>
        <v>33.896000000000001</v>
      </c>
      <c r="E134" s="394"/>
      <c r="F134" s="344">
        <f t="shared" si="2"/>
        <v>0</v>
      </c>
    </row>
    <row r="135" spans="1:6" ht="16.2" thickBot="1">
      <c r="A135" s="388"/>
      <c r="B135" s="395" t="s">
        <v>517</v>
      </c>
      <c r="C135" s="335"/>
      <c r="D135" s="336"/>
      <c r="E135" s="353"/>
      <c r="F135" s="353">
        <f>SUM(F128:F134)</f>
        <v>0</v>
      </c>
    </row>
    <row r="136" spans="1:6" ht="15.6">
      <c r="A136" s="354">
        <v>5</v>
      </c>
      <c r="B136" s="396" t="s">
        <v>518</v>
      </c>
      <c r="C136" s="342"/>
      <c r="D136" s="348"/>
      <c r="E136" s="344"/>
      <c r="F136" s="344"/>
    </row>
    <row r="137" spans="1:6" ht="15.6">
      <c r="A137" s="347" t="s">
        <v>49</v>
      </c>
      <c r="B137" s="396" t="s">
        <v>51</v>
      </c>
      <c r="C137" s="342"/>
      <c r="D137" s="348"/>
      <c r="E137" s="344"/>
      <c r="F137" s="344"/>
    </row>
    <row r="138" spans="1:6" ht="15.6" thickBot="1">
      <c r="A138" s="366" t="s">
        <v>50</v>
      </c>
      <c r="B138" s="397" t="s">
        <v>519</v>
      </c>
      <c r="C138" s="342" t="s">
        <v>131</v>
      </c>
      <c r="D138" s="348">
        <v>1</v>
      </c>
      <c r="E138" s="344"/>
      <c r="F138" s="344">
        <f>D138*E138</f>
        <v>0</v>
      </c>
    </row>
    <row r="139" spans="1:6" ht="16.2" thickBot="1">
      <c r="A139" s="388"/>
      <c r="B139" s="398" t="s">
        <v>520</v>
      </c>
      <c r="C139" s="335"/>
      <c r="D139" s="336"/>
      <c r="E139" s="353"/>
      <c r="F139" s="353">
        <f>F138</f>
        <v>0</v>
      </c>
    </row>
    <row r="140" spans="1:6" ht="15.6">
      <c r="A140" s="346">
        <v>6</v>
      </c>
      <c r="B140" s="399" t="s">
        <v>521</v>
      </c>
      <c r="C140" s="400"/>
      <c r="D140" s="357"/>
      <c r="E140" s="358"/>
      <c r="F140" s="344"/>
    </row>
    <row r="141" spans="1:6" ht="15.6">
      <c r="A141" s="401" t="s">
        <v>325</v>
      </c>
      <c r="B141" s="396" t="s">
        <v>522</v>
      </c>
      <c r="C141" s="356"/>
      <c r="D141" s="357"/>
      <c r="E141" s="374"/>
      <c r="F141" s="344"/>
    </row>
    <row r="142" spans="1:6" ht="15.6" thickBot="1">
      <c r="A142" s="401" t="s">
        <v>326</v>
      </c>
      <c r="B142" s="393" t="s">
        <v>523</v>
      </c>
      <c r="C142" s="342" t="s">
        <v>9</v>
      </c>
      <c r="D142" s="348">
        <v>4</v>
      </c>
      <c r="E142" s="342"/>
      <c r="F142" s="344">
        <f t="shared" ref="F142:F149" si="3">D142*E142</f>
        <v>0</v>
      </c>
    </row>
    <row r="143" spans="1:6" ht="15" hidden="1">
      <c r="A143" s="401" t="s">
        <v>384</v>
      </c>
      <c r="B143" s="347" t="s">
        <v>524</v>
      </c>
      <c r="C143" s="342"/>
      <c r="D143" s="348">
        <v>0</v>
      </c>
      <c r="E143" s="344"/>
      <c r="F143" s="344">
        <f t="shared" si="3"/>
        <v>0</v>
      </c>
    </row>
    <row r="144" spans="1:6" ht="15" hidden="1">
      <c r="A144" s="401" t="s">
        <v>525</v>
      </c>
      <c r="B144" s="347" t="s">
        <v>526</v>
      </c>
      <c r="C144" s="342" t="s">
        <v>9</v>
      </c>
      <c r="D144" s="348">
        <v>0</v>
      </c>
      <c r="E144" s="344"/>
      <c r="F144" s="344">
        <f t="shared" si="3"/>
        <v>0</v>
      </c>
    </row>
    <row r="145" spans="1:6" ht="15" hidden="1">
      <c r="A145" s="401" t="s">
        <v>527</v>
      </c>
      <c r="B145" s="347" t="s">
        <v>259</v>
      </c>
      <c r="C145" s="342" t="s">
        <v>9</v>
      </c>
      <c r="D145" s="348">
        <v>0</v>
      </c>
      <c r="E145" s="344"/>
      <c r="F145" s="344">
        <f t="shared" si="3"/>
        <v>0</v>
      </c>
    </row>
    <row r="146" spans="1:6" ht="15.6" hidden="1">
      <c r="A146" s="401" t="s">
        <v>385</v>
      </c>
      <c r="B146" s="396" t="s">
        <v>528</v>
      </c>
      <c r="C146" s="356"/>
      <c r="D146" s="357"/>
      <c r="E146" s="374"/>
      <c r="F146" s="344"/>
    </row>
    <row r="147" spans="1:6" ht="15.6" hidden="1">
      <c r="A147" s="401" t="s">
        <v>386</v>
      </c>
      <c r="B147" s="393" t="s">
        <v>529</v>
      </c>
      <c r="C147" s="356"/>
      <c r="D147" s="357"/>
      <c r="E147" s="374"/>
      <c r="F147" s="344"/>
    </row>
    <row r="148" spans="1:6" ht="15" hidden="1">
      <c r="A148" s="401" t="s">
        <v>530</v>
      </c>
      <c r="B148" s="393" t="s">
        <v>531</v>
      </c>
      <c r="C148" s="342" t="s">
        <v>9</v>
      </c>
      <c r="D148" s="348">
        <v>0</v>
      </c>
      <c r="E148" s="344"/>
      <c r="F148" s="344">
        <f t="shared" si="3"/>
        <v>0</v>
      </c>
    </row>
    <row r="149" spans="1:6" ht="15.6" hidden="1" thickBot="1">
      <c r="A149" s="346" t="s">
        <v>532</v>
      </c>
      <c r="B149" s="393" t="s">
        <v>533</v>
      </c>
      <c r="C149" s="342" t="s">
        <v>4</v>
      </c>
      <c r="D149" s="348">
        <v>0</v>
      </c>
      <c r="E149" s="344"/>
      <c r="F149" s="344">
        <f t="shared" si="3"/>
        <v>0</v>
      </c>
    </row>
    <row r="150" spans="1:6" ht="16.2" thickBot="1">
      <c r="A150" s="402"/>
      <c r="B150" s="403" t="s">
        <v>534</v>
      </c>
      <c r="C150" s="335"/>
      <c r="D150" s="336"/>
      <c r="E150" s="353"/>
      <c r="F150" s="353">
        <f>SUM(F142:F149)</f>
        <v>0</v>
      </c>
    </row>
    <row r="151" spans="1:6" ht="15.6">
      <c r="A151" s="392">
        <v>7</v>
      </c>
      <c r="B151" s="372" t="s">
        <v>535</v>
      </c>
      <c r="C151" s="404"/>
      <c r="D151" s="405"/>
      <c r="E151" s="345"/>
      <c r="F151" s="344"/>
    </row>
    <row r="152" spans="1:6" ht="15" hidden="1">
      <c r="A152" s="393" t="s">
        <v>132</v>
      </c>
      <c r="B152" s="366" t="s">
        <v>536</v>
      </c>
      <c r="C152" s="342" t="s">
        <v>7</v>
      </c>
      <c r="D152" s="348">
        <v>0</v>
      </c>
      <c r="E152" s="344"/>
      <c r="F152" s="344">
        <f>D152*E152</f>
        <v>0</v>
      </c>
    </row>
    <row r="153" spans="1:6" ht="15" hidden="1">
      <c r="A153" s="393" t="s">
        <v>133</v>
      </c>
      <c r="B153" s="366" t="s">
        <v>537</v>
      </c>
      <c r="C153" s="342" t="s">
        <v>7</v>
      </c>
      <c r="D153" s="348">
        <v>0</v>
      </c>
      <c r="E153" s="344"/>
      <c r="F153" s="344">
        <f>D153*E153</f>
        <v>0</v>
      </c>
    </row>
    <row r="154" spans="1:6" ht="15">
      <c r="A154" s="393" t="s">
        <v>390</v>
      </c>
      <c r="B154" s="366" t="s">
        <v>538</v>
      </c>
      <c r="C154" s="342"/>
      <c r="D154" s="348"/>
      <c r="E154" s="344"/>
      <c r="F154" s="344"/>
    </row>
    <row r="155" spans="1:6" ht="15">
      <c r="A155" s="393"/>
      <c r="B155" s="366" t="s">
        <v>539</v>
      </c>
      <c r="C155" s="342" t="s">
        <v>4</v>
      </c>
      <c r="D155" s="371">
        <f>32.37*9</f>
        <v>291.33</v>
      </c>
      <c r="E155" s="344"/>
      <c r="F155" s="344">
        <f>D155*E155</f>
        <v>0</v>
      </c>
    </row>
    <row r="156" spans="1:6" ht="15.6" thickBot="1">
      <c r="A156" s="393"/>
      <c r="B156" s="366" t="s">
        <v>540</v>
      </c>
      <c r="C156" s="342" t="s">
        <v>4</v>
      </c>
      <c r="D156" s="371">
        <f>D155</f>
        <v>291.33</v>
      </c>
      <c r="E156" s="344"/>
      <c r="F156" s="344">
        <f>D156*E156</f>
        <v>0</v>
      </c>
    </row>
    <row r="157" spans="1:6" ht="16.2" thickBot="1">
      <c r="A157" s="388"/>
      <c r="B157" s="398" t="s">
        <v>541</v>
      </c>
      <c r="C157" s="335"/>
      <c r="D157" s="336"/>
      <c r="E157" s="391"/>
      <c r="F157" s="353">
        <f>SUM(F152:F156)</f>
        <v>0</v>
      </c>
    </row>
    <row r="158" spans="1:6" ht="21.6" customHeight="1">
      <c r="A158" s="354">
        <v>8</v>
      </c>
      <c r="B158" s="406" t="s">
        <v>542</v>
      </c>
      <c r="C158" s="400"/>
      <c r="D158" s="357"/>
      <c r="E158" s="358"/>
      <c r="F158" s="344"/>
    </row>
    <row r="159" spans="1:6" ht="15.6">
      <c r="A159" s="346" t="s">
        <v>330</v>
      </c>
      <c r="B159" s="406" t="s">
        <v>134</v>
      </c>
      <c r="C159" s="342"/>
      <c r="D159" s="348"/>
      <c r="E159" s="344"/>
      <c r="F159" s="344"/>
    </row>
    <row r="160" spans="1:6" ht="15">
      <c r="A160" s="346" t="s">
        <v>332</v>
      </c>
      <c r="B160" s="347" t="s">
        <v>619</v>
      </c>
      <c r="C160" s="342" t="s">
        <v>9</v>
      </c>
      <c r="D160" s="348">
        <v>4</v>
      </c>
      <c r="E160" s="344"/>
      <c r="F160" s="344">
        <f>D160*E160</f>
        <v>0</v>
      </c>
    </row>
    <row r="161" spans="1:7" ht="15">
      <c r="A161" s="346" t="s">
        <v>543</v>
      </c>
      <c r="B161" s="347" t="s">
        <v>544</v>
      </c>
      <c r="C161" s="342" t="s">
        <v>9</v>
      </c>
      <c r="D161" s="348">
        <v>2</v>
      </c>
      <c r="E161" s="344"/>
      <c r="F161" s="344">
        <f t="shared" ref="F161:F170" si="4">D161*E161</f>
        <v>0</v>
      </c>
    </row>
    <row r="162" spans="1:7" ht="15.6">
      <c r="A162" s="346" t="s">
        <v>545</v>
      </c>
      <c r="B162" s="406" t="s">
        <v>135</v>
      </c>
      <c r="C162" s="342"/>
      <c r="D162" s="348"/>
      <c r="E162" s="344"/>
      <c r="F162" s="344"/>
    </row>
    <row r="163" spans="1:7" ht="15">
      <c r="A163" s="346" t="s">
        <v>546</v>
      </c>
      <c r="B163" s="347" t="s">
        <v>547</v>
      </c>
      <c r="C163" s="342" t="s">
        <v>9</v>
      </c>
      <c r="D163" s="342">
        <v>0</v>
      </c>
      <c r="E163" s="344"/>
      <c r="F163" s="344">
        <f t="shared" si="4"/>
        <v>0</v>
      </c>
    </row>
    <row r="164" spans="1:7" ht="15.6" thickBot="1">
      <c r="A164" s="346" t="s">
        <v>548</v>
      </c>
      <c r="B164" s="347" t="s">
        <v>365</v>
      </c>
      <c r="C164" s="342" t="s">
        <v>9</v>
      </c>
      <c r="D164" s="342">
        <v>5</v>
      </c>
      <c r="E164" s="344"/>
      <c r="F164" s="344">
        <f t="shared" si="4"/>
        <v>0</v>
      </c>
    </row>
    <row r="165" spans="1:7" ht="15.6" hidden="1">
      <c r="A165" s="347" t="s">
        <v>549</v>
      </c>
      <c r="B165" s="341" t="s">
        <v>550</v>
      </c>
      <c r="C165" s="342"/>
      <c r="D165" s="342"/>
      <c r="E165" s="344"/>
      <c r="F165" s="344"/>
    </row>
    <row r="166" spans="1:7" ht="15" hidden="1">
      <c r="A166" s="347" t="s">
        <v>551</v>
      </c>
      <c r="B166" s="347" t="s">
        <v>552</v>
      </c>
      <c r="C166" s="342"/>
      <c r="D166" s="342"/>
      <c r="E166" s="344"/>
      <c r="F166" s="344"/>
    </row>
    <row r="167" spans="1:7" ht="15" hidden="1">
      <c r="A167" s="347" t="s">
        <v>553</v>
      </c>
      <c r="B167" s="347" t="s">
        <v>554</v>
      </c>
      <c r="C167" s="342" t="s">
        <v>9</v>
      </c>
      <c r="D167" s="342">
        <v>0</v>
      </c>
      <c r="E167" s="344"/>
      <c r="F167" s="344">
        <f t="shared" si="4"/>
        <v>0</v>
      </c>
    </row>
    <row r="168" spans="1:7" ht="15.6" hidden="1">
      <c r="A168" s="347" t="s">
        <v>555</v>
      </c>
      <c r="B168" s="341" t="s">
        <v>556</v>
      </c>
      <c r="C168" s="342"/>
      <c r="D168" s="342"/>
      <c r="E168" s="344"/>
      <c r="F168" s="344"/>
    </row>
    <row r="169" spans="1:7" ht="15" hidden="1">
      <c r="A169" s="347" t="s">
        <v>557</v>
      </c>
      <c r="B169" s="347" t="s">
        <v>558</v>
      </c>
      <c r="C169" s="342" t="s">
        <v>9</v>
      </c>
      <c r="D169" s="342">
        <v>0</v>
      </c>
      <c r="E169" s="344"/>
      <c r="F169" s="344">
        <f t="shared" si="4"/>
        <v>0</v>
      </c>
    </row>
    <row r="170" spans="1:7" ht="15.6" hidden="1" thickBot="1">
      <c r="A170" s="347" t="s">
        <v>559</v>
      </c>
      <c r="B170" s="347" t="s">
        <v>560</v>
      </c>
      <c r="C170" s="342" t="s">
        <v>9</v>
      </c>
      <c r="D170" s="342">
        <v>0</v>
      </c>
      <c r="E170" s="344"/>
      <c r="F170" s="344">
        <f t="shared" si="4"/>
        <v>0</v>
      </c>
    </row>
    <row r="171" spans="1:7" ht="16.2" thickBot="1">
      <c r="A171" s="388"/>
      <c r="B171" s="395" t="s">
        <v>561</v>
      </c>
      <c r="C171" s="389"/>
      <c r="D171" s="390"/>
      <c r="E171" s="391"/>
      <c r="F171" s="353">
        <f>SUM(F160:F170)</f>
        <v>0</v>
      </c>
    </row>
    <row r="172" spans="1:7" ht="15.6">
      <c r="A172" s="354">
        <v>9</v>
      </c>
      <c r="B172" s="341" t="s">
        <v>562</v>
      </c>
      <c r="C172" s="362"/>
      <c r="D172" s="343"/>
      <c r="E172" s="345"/>
      <c r="F172" s="344"/>
    </row>
    <row r="173" spans="1:7" ht="15.6">
      <c r="A173" s="354">
        <v>10</v>
      </c>
      <c r="B173" s="341" t="s">
        <v>563</v>
      </c>
      <c r="C173" s="342"/>
      <c r="D173" s="348"/>
      <c r="E173" s="344"/>
      <c r="F173" s="344"/>
    </row>
    <row r="174" spans="1:7" s="368" customFormat="1" ht="15">
      <c r="A174" s="346" t="s">
        <v>136</v>
      </c>
      <c r="B174" s="347" t="s">
        <v>564</v>
      </c>
      <c r="C174" s="342"/>
      <c r="D174" s="348"/>
      <c r="E174" s="344"/>
      <c r="F174" s="344"/>
      <c r="G174" s="324"/>
    </row>
    <row r="175" spans="1:7" ht="28.95" customHeight="1" thickBot="1">
      <c r="A175" s="346" t="s">
        <v>565</v>
      </c>
      <c r="B175" s="407" t="s">
        <v>624</v>
      </c>
      <c r="C175" s="342" t="s">
        <v>503</v>
      </c>
      <c r="D175" s="348">
        <v>1</v>
      </c>
      <c r="E175" s="344"/>
      <c r="F175" s="344">
        <f>D175*E175</f>
        <v>0</v>
      </c>
    </row>
    <row r="176" spans="1:7" ht="16.2" thickBot="1">
      <c r="A176" s="350"/>
      <c r="B176" s="395" t="s">
        <v>566</v>
      </c>
      <c r="C176" s="389"/>
      <c r="D176" s="390"/>
      <c r="E176" s="391"/>
      <c r="F176" s="353">
        <f>SUM(F175:F175)</f>
        <v>0</v>
      </c>
    </row>
    <row r="177" spans="1:7" ht="15.6">
      <c r="A177" s="354">
        <v>11</v>
      </c>
      <c r="B177" s="341" t="s">
        <v>567</v>
      </c>
      <c r="C177" s="362"/>
      <c r="D177" s="357"/>
      <c r="E177" s="358"/>
      <c r="F177" s="344"/>
    </row>
    <row r="178" spans="1:7" s="368" customFormat="1" ht="15.6">
      <c r="A178" s="346" t="s">
        <v>568</v>
      </c>
      <c r="B178" s="406" t="s">
        <v>137</v>
      </c>
      <c r="C178" s="408"/>
      <c r="D178" s="405"/>
      <c r="E178" s="408"/>
      <c r="F178" s="344"/>
      <c r="G178" s="324"/>
    </row>
    <row r="179" spans="1:7" s="368" customFormat="1" ht="15">
      <c r="A179" s="346" t="s">
        <v>569</v>
      </c>
      <c r="B179" s="407" t="s">
        <v>59</v>
      </c>
      <c r="C179" s="342" t="s">
        <v>4</v>
      </c>
      <c r="D179" s="348">
        <f>(32.37*2+5.9*2*2)*3.5</f>
        <v>309.19</v>
      </c>
      <c r="E179" s="344"/>
      <c r="F179" s="344">
        <f t="shared" ref="F179:F192" si="5">D179*E179</f>
        <v>0</v>
      </c>
      <c r="G179" s="324"/>
    </row>
    <row r="180" spans="1:7" s="368" customFormat="1" ht="30.6">
      <c r="A180" s="346" t="s">
        <v>570</v>
      </c>
      <c r="B180" s="407" t="s">
        <v>138</v>
      </c>
      <c r="C180" s="342" t="s">
        <v>4</v>
      </c>
      <c r="D180" s="348">
        <f>1.5*(32.37+5.9)*2</f>
        <v>114.80999999999999</v>
      </c>
      <c r="E180" s="344"/>
      <c r="F180" s="344">
        <f t="shared" si="5"/>
        <v>0</v>
      </c>
      <c r="G180" s="324"/>
    </row>
    <row r="181" spans="1:7" ht="15.6">
      <c r="A181" s="346" t="s">
        <v>571</v>
      </c>
      <c r="B181" s="406" t="s">
        <v>139</v>
      </c>
      <c r="C181" s="342"/>
      <c r="D181" s="348"/>
      <c r="E181" s="344"/>
      <c r="F181" s="344"/>
    </row>
    <row r="182" spans="1:7" ht="15">
      <c r="A182" s="346" t="s">
        <v>572</v>
      </c>
      <c r="B182" s="407" t="s">
        <v>60</v>
      </c>
      <c r="C182" s="342" t="s">
        <v>4</v>
      </c>
      <c r="D182" s="348">
        <f>(32.37*2+5.9*6)*3</f>
        <v>300.42</v>
      </c>
      <c r="E182" s="344"/>
      <c r="F182" s="344">
        <f t="shared" si="5"/>
        <v>0</v>
      </c>
    </row>
    <row r="183" spans="1:7" ht="15">
      <c r="A183" s="346" t="s">
        <v>573</v>
      </c>
      <c r="B183" s="407" t="s">
        <v>574</v>
      </c>
      <c r="C183" s="342" t="s">
        <v>4</v>
      </c>
      <c r="D183" s="348">
        <f>D156</f>
        <v>291.33</v>
      </c>
      <c r="E183" s="344"/>
      <c r="F183" s="344">
        <f t="shared" si="5"/>
        <v>0</v>
      </c>
    </row>
    <row r="184" spans="1:7" ht="15">
      <c r="A184" s="346"/>
      <c r="B184" s="407"/>
      <c r="C184" s="342"/>
      <c r="D184" s="348"/>
      <c r="E184" s="344"/>
      <c r="F184" s="344"/>
    </row>
    <row r="185" spans="1:7" ht="15.6" hidden="1">
      <c r="A185" s="346" t="s">
        <v>575</v>
      </c>
      <c r="B185" s="406" t="s">
        <v>576</v>
      </c>
      <c r="C185" s="342"/>
      <c r="D185" s="342"/>
      <c r="E185" s="344"/>
      <c r="F185" s="344"/>
    </row>
    <row r="186" spans="1:7" ht="30" hidden="1">
      <c r="A186" s="346" t="s">
        <v>577</v>
      </c>
      <c r="B186" s="407" t="s">
        <v>578</v>
      </c>
      <c r="C186" s="342" t="s">
        <v>4</v>
      </c>
      <c r="D186" s="342">
        <v>0</v>
      </c>
      <c r="E186" s="344"/>
      <c r="F186" s="344">
        <f t="shared" si="5"/>
        <v>0</v>
      </c>
    </row>
    <row r="187" spans="1:7" ht="15" hidden="1">
      <c r="A187" s="346"/>
      <c r="B187" s="407"/>
      <c r="C187" s="342"/>
      <c r="D187" s="348"/>
      <c r="E187" s="344"/>
      <c r="F187" s="344"/>
    </row>
    <row r="188" spans="1:7" ht="15.6">
      <c r="A188" s="347" t="s">
        <v>579</v>
      </c>
      <c r="B188" s="406" t="s">
        <v>140</v>
      </c>
      <c r="C188" s="342"/>
      <c r="D188" s="348"/>
      <c r="E188" s="374"/>
      <c r="F188" s="344"/>
    </row>
    <row r="189" spans="1:7" ht="30.6">
      <c r="A189" s="347" t="s">
        <v>580</v>
      </c>
      <c r="B189" s="407" t="s">
        <v>141</v>
      </c>
      <c r="C189" s="342" t="s">
        <v>4</v>
      </c>
      <c r="D189" s="348">
        <f>1.5*2.2*2*4</f>
        <v>26.400000000000002</v>
      </c>
      <c r="E189" s="344"/>
      <c r="F189" s="344">
        <f t="shared" si="5"/>
        <v>0</v>
      </c>
    </row>
    <row r="190" spans="1:7" ht="15.6">
      <c r="A190" s="347" t="s">
        <v>581</v>
      </c>
      <c r="B190" s="406" t="s">
        <v>582</v>
      </c>
      <c r="C190" s="342"/>
      <c r="D190" s="348"/>
      <c r="E190" s="344"/>
      <c r="F190" s="344"/>
    </row>
    <row r="191" spans="1:7" ht="15">
      <c r="A191" s="347" t="s">
        <v>583</v>
      </c>
      <c r="B191" s="407" t="s">
        <v>584</v>
      </c>
      <c r="C191" s="342" t="s">
        <v>4</v>
      </c>
      <c r="D191" s="348">
        <f>4*6*1.4+4*3*1.4</f>
        <v>50.399999999999991</v>
      </c>
      <c r="E191" s="344"/>
      <c r="F191" s="344">
        <f>D191*E191</f>
        <v>0</v>
      </c>
    </row>
    <row r="192" spans="1:7" ht="15.6" thickBot="1">
      <c r="A192" s="347" t="s">
        <v>583</v>
      </c>
      <c r="B192" s="407" t="s">
        <v>142</v>
      </c>
      <c r="C192" s="342" t="s">
        <v>4</v>
      </c>
      <c r="D192" s="348">
        <f>D191</f>
        <v>50.399999999999991</v>
      </c>
      <c r="E192" s="344"/>
      <c r="F192" s="344">
        <f t="shared" si="5"/>
        <v>0</v>
      </c>
    </row>
    <row r="193" spans="1:7" ht="16.2" thickBot="1">
      <c r="A193" s="350"/>
      <c r="B193" s="395" t="s">
        <v>585</v>
      </c>
      <c r="C193" s="389"/>
      <c r="D193" s="336"/>
      <c r="E193" s="335"/>
      <c r="F193" s="409">
        <f>SUM(F179:F192)</f>
        <v>0</v>
      </c>
    </row>
    <row r="194" spans="1:7" ht="15">
      <c r="A194" s="366"/>
      <c r="B194" s="366"/>
      <c r="C194" s="327"/>
      <c r="D194" s="410"/>
      <c r="E194" s="327"/>
      <c r="F194" s="327"/>
    </row>
    <row r="195" spans="1:7" ht="22.5" customHeight="1">
      <c r="A195" s="366"/>
      <c r="B195" s="416" t="s">
        <v>665</v>
      </c>
      <c r="C195" s="327"/>
      <c r="D195" s="410"/>
      <c r="E195" s="327"/>
      <c r="F195" s="417">
        <f>F10+F113+F124+F135+F139+F150+F157+F171+F176+F193</f>
        <v>0</v>
      </c>
    </row>
    <row r="196" spans="1:7" ht="28.05" customHeight="1" thickBot="1">
      <c r="A196" s="366"/>
      <c r="B196" s="366"/>
      <c r="C196" s="327"/>
      <c r="D196" s="410"/>
      <c r="E196" s="327"/>
      <c r="F196" s="411"/>
    </row>
    <row r="197" spans="1:7" ht="22.95" customHeight="1" thickBot="1">
      <c r="B197" s="520" t="s">
        <v>661</v>
      </c>
      <c r="C197" s="521"/>
      <c r="D197" s="521"/>
      <c r="E197" s="522"/>
      <c r="F197" s="328"/>
    </row>
    <row r="198" spans="1:7" ht="13.2" customHeight="1" thickBot="1">
      <c r="B198" s="329"/>
      <c r="C198" s="330"/>
      <c r="D198" s="331"/>
      <c r="E198" s="332"/>
      <c r="F198" s="332"/>
    </row>
    <row r="199" spans="1:7" s="339" customFormat="1" ht="33" customHeight="1" thickBot="1">
      <c r="A199" s="412" t="s">
        <v>413</v>
      </c>
      <c r="B199" s="334" t="s">
        <v>70</v>
      </c>
      <c r="C199" s="335" t="s">
        <v>75</v>
      </c>
      <c r="D199" s="336" t="s">
        <v>76</v>
      </c>
      <c r="E199" s="337" t="s">
        <v>77</v>
      </c>
      <c r="F199" s="335" t="s">
        <v>78</v>
      </c>
      <c r="G199" s="338"/>
    </row>
    <row r="200" spans="1:7" ht="15.6">
      <c r="A200" s="340">
        <v>1</v>
      </c>
      <c r="B200" s="341" t="s">
        <v>414</v>
      </c>
      <c r="C200" s="342"/>
      <c r="D200" s="343"/>
      <c r="E200" s="344"/>
      <c r="F200" s="345"/>
    </row>
    <row r="201" spans="1:7" ht="15.6">
      <c r="A201" s="354"/>
      <c r="B201" s="341" t="s">
        <v>586</v>
      </c>
      <c r="C201" s="342"/>
      <c r="D201" s="413"/>
      <c r="E201" s="344"/>
      <c r="F201" s="344"/>
    </row>
    <row r="202" spans="1:7" ht="15.6" thickBot="1">
      <c r="A202" s="346" t="s">
        <v>5</v>
      </c>
      <c r="B202" s="347" t="s">
        <v>415</v>
      </c>
      <c r="C202" s="342" t="s">
        <v>416</v>
      </c>
      <c r="D202" s="348">
        <v>0</v>
      </c>
      <c r="E202" s="349"/>
      <c r="F202" s="344">
        <f>D202*E202</f>
        <v>0</v>
      </c>
    </row>
    <row r="203" spans="1:7" ht="16.2" thickBot="1">
      <c r="A203" s="350"/>
      <c r="B203" s="351" t="s">
        <v>417</v>
      </c>
      <c r="C203" s="335"/>
      <c r="D203" s="336"/>
      <c r="E203" s="352"/>
      <c r="F203" s="353">
        <f>F202</f>
        <v>0</v>
      </c>
    </row>
    <row r="204" spans="1:7" ht="15.6">
      <c r="A204" s="354">
        <v>2</v>
      </c>
      <c r="B204" s="355" t="s">
        <v>418</v>
      </c>
      <c r="C204" s="356"/>
      <c r="D204" s="357"/>
      <c r="E204" s="358"/>
      <c r="F204" s="344"/>
    </row>
    <row r="205" spans="1:7" ht="15">
      <c r="A205" s="346" t="s">
        <v>79</v>
      </c>
      <c r="B205" s="347" t="s">
        <v>80</v>
      </c>
      <c r="C205" s="342"/>
      <c r="D205" s="348"/>
      <c r="E205" s="344"/>
      <c r="F205" s="344"/>
    </row>
    <row r="206" spans="1:7" ht="15">
      <c r="A206" s="346" t="s">
        <v>81</v>
      </c>
      <c r="B206" s="347" t="s">
        <v>419</v>
      </c>
      <c r="C206" s="342" t="s">
        <v>10</v>
      </c>
      <c r="D206" s="348">
        <v>0</v>
      </c>
      <c r="E206" s="344"/>
      <c r="F206" s="344">
        <f>D206*E206</f>
        <v>0</v>
      </c>
    </row>
    <row r="207" spans="1:7" ht="17.55" customHeight="1">
      <c r="A207" s="346" t="s">
        <v>82</v>
      </c>
      <c r="B207" s="347" t="s">
        <v>83</v>
      </c>
      <c r="C207" s="342" t="s">
        <v>10</v>
      </c>
      <c r="D207" s="348">
        <v>0</v>
      </c>
      <c r="E207" s="344"/>
      <c r="F207" s="344">
        <f>D207*E207</f>
        <v>0</v>
      </c>
    </row>
    <row r="208" spans="1:7" ht="17.55" customHeight="1" thickBot="1">
      <c r="A208" s="346" t="s">
        <v>84</v>
      </c>
      <c r="B208" s="347" t="s">
        <v>85</v>
      </c>
      <c r="C208" s="342" t="s">
        <v>10</v>
      </c>
      <c r="D208" s="348">
        <v>0</v>
      </c>
      <c r="E208" s="344"/>
      <c r="F208" s="344">
        <f>D208*E208</f>
        <v>0</v>
      </c>
    </row>
    <row r="209" spans="1:6" ht="17.55" customHeight="1" thickBot="1">
      <c r="A209" s="350"/>
      <c r="B209" s="359" t="s">
        <v>420</v>
      </c>
      <c r="C209" s="335"/>
      <c r="D209" s="336"/>
      <c r="E209" s="353"/>
      <c r="F209" s="353">
        <f>SUM(F206:F208)</f>
        <v>0</v>
      </c>
    </row>
    <row r="210" spans="1:6" ht="17.55" customHeight="1">
      <c r="A210" s="360" t="s">
        <v>16</v>
      </c>
      <c r="B210" s="361" t="s">
        <v>292</v>
      </c>
      <c r="C210" s="362"/>
      <c r="D210" s="343"/>
      <c r="E210" s="345"/>
      <c r="F210" s="344"/>
    </row>
    <row r="211" spans="1:6" ht="17.55" customHeight="1">
      <c r="A211" s="363" t="s">
        <v>17</v>
      </c>
      <c r="B211" s="364" t="s">
        <v>421</v>
      </c>
      <c r="C211" s="342"/>
      <c r="D211" s="348"/>
      <c r="E211" s="344"/>
      <c r="F211" s="344"/>
    </row>
    <row r="212" spans="1:6" ht="17.55" customHeight="1">
      <c r="A212" s="365" t="s">
        <v>86</v>
      </c>
      <c r="B212" s="366" t="s">
        <v>87</v>
      </c>
      <c r="C212" s="342" t="s">
        <v>10</v>
      </c>
      <c r="D212" s="348">
        <v>0</v>
      </c>
      <c r="E212" s="344"/>
      <c r="F212" s="344">
        <f>D212*E212</f>
        <v>0</v>
      </c>
    </row>
    <row r="213" spans="1:6" ht="17.55" customHeight="1">
      <c r="A213" s="365" t="s">
        <v>88</v>
      </c>
      <c r="B213" s="366" t="s">
        <v>587</v>
      </c>
      <c r="C213" s="342"/>
      <c r="D213" s="348"/>
      <c r="E213" s="344"/>
      <c r="F213" s="344"/>
    </row>
    <row r="214" spans="1:6" ht="17.55" customHeight="1">
      <c r="A214" s="365" t="s">
        <v>190</v>
      </c>
      <c r="B214" s="366" t="s">
        <v>20</v>
      </c>
      <c r="C214" s="342" t="s">
        <v>10</v>
      </c>
      <c r="D214" s="348">
        <v>0</v>
      </c>
      <c r="E214" s="344"/>
      <c r="F214" s="344">
        <f>D214*E214</f>
        <v>0</v>
      </c>
    </row>
    <row r="215" spans="1:6" ht="17.55" customHeight="1">
      <c r="A215" s="365" t="s">
        <v>423</v>
      </c>
      <c r="B215" s="366" t="s">
        <v>424</v>
      </c>
      <c r="C215" s="342" t="s">
        <v>23</v>
      </c>
      <c r="D215" s="348">
        <f>D214*40</f>
        <v>0</v>
      </c>
      <c r="E215" s="344"/>
      <c r="F215" s="344">
        <f>D215*E215</f>
        <v>0</v>
      </c>
    </row>
    <row r="216" spans="1:6" ht="17.55" customHeight="1">
      <c r="A216" s="365" t="s">
        <v>425</v>
      </c>
      <c r="B216" s="366" t="s">
        <v>426</v>
      </c>
      <c r="C216" s="342" t="s">
        <v>4</v>
      </c>
      <c r="D216" s="348">
        <v>0</v>
      </c>
      <c r="E216" s="344"/>
      <c r="F216" s="344">
        <f>D216*E216</f>
        <v>0</v>
      </c>
    </row>
    <row r="217" spans="1:6" ht="17.55" customHeight="1">
      <c r="A217" s="365" t="s">
        <v>89</v>
      </c>
      <c r="B217" s="366" t="s">
        <v>588</v>
      </c>
      <c r="C217" s="342"/>
      <c r="D217" s="348"/>
      <c r="E217" s="344"/>
      <c r="F217" s="344"/>
    </row>
    <row r="218" spans="1:6" ht="17.55" customHeight="1">
      <c r="A218" s="365" t="s">
        <v>193</v>
      </c>
      <c r="B218" s="366" t="s">
        <v>20</v>
      </c>
      <c r="C218" s="342" t="s">
        <v>10</v>
      </c>
      <c r="D218" s="348">
        <v>0</v>
      </c>
      <c r="E218" s="344"/>
      <c r="F218" s="344">
        <f>D218*E218</f>
        <v>0</v>
      </c>
    </row>
    <row r="219" spans="1:6" ht="17.55" customHeight="1">
      <c r="A219" s="365" t="s">
        <v>191</v>
      </c>
      <c r="B219" s="366" t="s">
        <v>352</v>
      </c>
      <c r="C219" s="342" t="s">
        <v>23</v>
      </c>
      <c r="D219" s="348">
        <f>D218*80</f>
        <v>0</v>
      </c>
      <c r="E219" s="344"/>
      <c r="F219" s="344">
        <f>D219*E219</f>
        <v>0</v>
      </c>
    </row>
    <row r="220" spans="1:6" ht="17.55" customHeight="1">
      <c r="A220" s="365" t="s">
        <v>194</v>
      </c>
      <c r="B220" s="366" t="s">
        <v>21</v>
      </c>
      <c r="C220" s="342" t="s">
        <v>4</v>
      </c>
      <c r="D220" s="348">
        <f>D218*12</f>
        <v>0</v>
      </c>
      <c r="E220" s="344"/>
      <c r="F220" s="344">
        <f>D220*E220</f>
        <v>0</v>
      </c>
    </row>
    <row r="221" spans="1:6" ht="17.55" customHeight="1">
      <c r="A221" s="365" t="s">
        <v>90</v>
      </c>
      <c r="B221" s="366" t="s">
        <v>428</v>
      </c>
      <c r="C221" s="342"/>
      <c r="D221" s="348"/>
      <c r="E221" s="344"/>
      <c r="F221" s="344"/>
    </row>
    <row r="222" spans="1:6" ht="17.55" customHeight="1">
      <c r="A222" s="365" t="s">
        <v>196</v>
      </c>
      <c r="B222" s="366" t="s">
        <v>20</v>
      </c>
      <c r="C222" s="342" t="s">
        <v>10</v>
      </c>
      <c r="D222" s="348">
        <v>0</v>
      </c>
      <c r="E222" s="344"/>
      <c r="F222" s="344">
        <f>D222*E222</f>
        <v>0</v>
      </c>
    </row>
    <row r="223" spans="1:6" ht="15">
      <c r="A223" s="365" t="s">
        <v>197</v>
      </c>
      <c r="B223" s="366" t="s">
        <v>22</v>
      </c>
      <c r="C223" s="342" t="s">
        <v>23</v>
      </c>
      <c r="D223" s="348">
        <f>D222*80</f>
        <v>0</v>
      </c>
      <c r="E223" s="344"/>
      <c r="F223" s="344">
        <f>D223*E223</f>
        <v>0</v>
      </c>
    </row>
    <row r="224" spans="1:6" ht="15">
      <c r="A224" s="365" t="s">
        <v>198</v>
      </c>
      <c r="B224" s="366" t="s">
        <v>21</v>
      </c>
      <c r="C224" s="342" t="s">
        <v>4</v>
      </c>
      <c r="D224" s="348">
        <f>D222*12</f>
        <v>0</v>
      </c>
      <c r="E224" s="344"/>
      <c r="F224" s="344">
        <f>D224*E224</f>
        <v>0</v>
      </c>
    </row>
    <row r="225" spans="1:7" ht="15">
      <c r="A225" s="365" t="s">
        <v>91</v>
      </c>
      <c r="B225" s="366" t="s">
        <v>429</v>
      </c>
      <c r="C225" s="342" t="s">
        <v>4</v>
      </c>
      <c r="D225" s="348">
        <v>0</v>
      </c>
      <c r="E225" s="344"/>
      <c r="F225" s="344">
        <f>D225*E225</f>
        <v>0</v>
      </c>
    </row>
    <row r="226" spans="1:7" s="368" customFormat="1" ht="15">
      <c r="A226" s="365" t="s">
        <v>92</v>
      </c>
      <c r="B226" s="366" t="s">
        <v>362</v>
      </c>
      <c r="C226" s="342"/>
      <c r="D226" s="348"/>
      <c r="E226" s="344"/>
      <c r="F226" s="344"/>
      <c r="G226" s="324"/>
    </row>
    <row r="227" spans="1:7" s="368" customFormat="1" ht="15">
      <c r="A227" s="365" t="s">
        <v>201</v>
      </c>
      <c r="B227" s="369" t="s">
        <v>431</v>
      </c>
      <c r="C227" s="342" t="s">
        <v>4</v>
      </c>
      <c r="D227" s="348">
        <f>8*7*2+16.45*1.5</f>
        <v>136.67500000000001</v>
      </c>
      <c r="E227" s="344"/>
      <c r="F227" s="344">
        <f>D227*E227</f>
        <v>0</v>
      </c>
      <c r="G227" s="324"/>
    </row>
    <row r="228" spans="1:7" ht="15">
      <c r="A228" s="365" t="s">
        <v>432</v>
      </c>
      <c r="B228" s="369" t="s">
        <v>589</v>
      </c>
      <c r="C228" s="370" t="s">
        <v>10</v>
      </c>
      <c r="D228" s="371">
        <f>D227*0.1</f>
        <v>13.667500000000002</v>
      </c>
      <c r="E228" s="349"/>
      <c r="F228" s="344">
        <f>D228*E228</f>
        <v>0</v>
      </c>
    </row>
    <row r="229" spans="1:7" ht="15">
      <c r="A229" s="365" t="s">
        <v>434</v>
      </c>
      <c r="B229" s="366" t="s">
        <v>590</v>
      </c>
      <c r="C229" s="342" t="s">
        <v>23</v>
      </c>
      <c r="D229" s="348">
        <f>D227*3</f>
        <v>410.02500000000003</v>
      </c>
      <c r="E229" s="344"/>
      <c r="F229" s="344">
        <f>D229*E229</f>
        <v>0</v>
      </c>
    </row>
    <row r="230" spans="1:7" ht="15">
      <c r="A230" s="365" t="s">
        <v>436</v>
      </c>
      <c r="B230" s="366" t="s">
        <v>93</v>
      </c>
      <c r="C230" s="342" t="s">
        <v>4</v>
      </c>
      <c r="D230" s="348">
        <f>D227</f>
        <v>136.67500000000001</v>
      </c>
      <c r="E230" s="344"/>
      <c r="F230" s="344">
        <f>D230*E230</f>
        <v>0</v>
      </c>
    </row>
    <row r="231" spans="1:7" ht="15.6">
      <c r="A231" s="365" t="s">
        <v>94</v>
      </c>
      <c r="B231" s="372" t="s">
        <v>95</v>
      </c>
      <c r="C231" s="342"/>
      <c r="D231" s="342"/>
      <c r="E231" s="344"/>
      <c r="F231" s="344"/>
    </row>
    <row r="232" spans="1:7" ht="45">
      <c r="A232" s="365" t="s">
        <v>437</v>
      </c>
      <c r="B232" s="373" t="s">
        <v>438</v>
      </c>
      <c r="C232" s="342" t="s">
        <v>4</v>
      </c>
      <c r="D232" s="342">
        <f>16.45*0.44*2</f>
        <v>14.475999999999999</v>
      </c>
      <c r="E232" s="344"/>
      <c r="F232" s="344">
        <f>D232*E232</f>
        <v>0</v>
      </c>
    </row>
    <row r="233" spans="1:7" ht="15">
      <c r="A233" s="365" t="s">
        <v>439</v>
      </c>
      <c r="B233" s="369" t="s">
        <v>96</v>
      </c>
      <c r="C233" s="342" t="s">
        <v>10</v>
      </c>
      <c r="D233" s="342">
        <f>16.45*0.4*0.4</f>
        <v>2.6320000000000001</v>
      </c>
      <c r="E233" s="344"/>
      <c r="F233" s="344">
        <f>D233*E233</f>
        <v>0</v>
      </c>
    </row>
    <row r="234" spans="1:7" ht="15">
      <c r="A234" s="365" t="s">
        <v>440</v>
      </c>
      <c r="B234" s="369" t="s">
        <v>97</v>
      </c>
      <c r="C234" s="342" t="s">
        <v>10</v>
      </c>
      <c r="D234" s="342">
        <f>16.45*0.4*0.1</f>
        <v>0.65800000000000003</v>
      </c>
      <c r="E234" s="344"/>
      <c r="F234" s="344">
        <f>D234*E234</f>
        <v>0</v>
      </c>
    </row>
    <row r="235" spans="1:7" ht="15.6">
      <c r="A235" s="365" t="s">
        <v>94</v>
      </c>
      <c r="B235" s="372" t="s">
        <v>441</v>
      </c>
      <c r="C235" s="342"/>
      <c r="D235" s="342"/>
      <c r="E235" s="344"/>
      <c r="F235" s="344"/>
    </row>
    <row r="236" spans="1:7" ht="45">
      <c r="A236" s="365" t="s">
        <v>437</v>
      </c>
      <c r="B236" s="373" t="s">
        <v>442</v>
      </c>
      <c r="C236" s="342" t="s">
        <v>4</v>
      </c>
      <c r="D236" s="342">
        <f>16.45*1.5</f>
        <v>24.674999999999997</v>
      </c>
      <c r="E236" s="344"/>
      <c r="F236" s="344">
        <f>D236*E236</f>
        <v>0</v>
      </c>
    </row>
    <row r="237" spans="1:7" ht="21.6" customHeight="1">
      <c r="A237" s="363" t="s">
        <v>24</v>
      </c>
      <c r="B237" s="364" t="s">
        <v>443</v>
      </c>
      <c r="C237" s="356"/>
      <c r="D237" s="348"/>
      <c r="E237" s="374"/>
      <c r="F237" s="344"/>
    </row>
    <row r="238" spans="1:7" ht="15">
      <c r="A238" s="365" t="s">
        <v>381</v>
      </c>
      <c r="B238" s="366" t="s">
        <v>447</v>
      </c>
      <c r="C238" s="342" t="s">
        <v>4</v>
      </c>
      <c r="D238" s="371">
        <f>31*3*0.15*0</f>
        <v>0</v>
      </c>
      <c r="E238" s="344"/>
      <c r="F238" s="344">
        <f>D238*E238</f>
        <v>0</v>
      </c>
    </row>
    <row r="239" spans="1:7" ht="15">
      <c r="A239" s="365" t="s">
        <v>381</v>
      </c>
      <c r="B239" s="366" t="s">
        <v>591</v>
      </c>
      <c r="C239" s="342" t="s">
        <v>4</v>
      </c>
      <c r="D239" s="371">
        <f>(2*8*0.66+4*6*0.66)*0</f>
        <v>0</v>
      </c>
      <c r="E239" s="344"/>
      <c r="F239" s="344">
        <f>D239*E239</f>
        <v>0</v>
      </c>
    </row>
    <row r="240" spans="1:7" ht="15">
      <c r="A240" s="365" t="s">
        <v>26</v>
      </c>
      <c r="B240" s="366" t="s">
        <v>592</v>
      </c>
      <c r="C240" s="342" t="s">
        <v>4</v>
      </c>
      <c r="D240" s="371">
        <f>(D239+3*32.55*0.66+4*6.3*0.66)*0</f>
        <v>0</v>
      </c>
      <c r="E240" s="344"/>
      <c r="F240" s="344">
        <f>D240*E240</f>
        <v>0</v>
      </c>
    </row>
    <row r="241" spans="1:6" ht="15">
      <c r="A241" s="365" t="s">
        <v>381</v>
      </c>
      <c r="B241" s="366" t="s">
        <v>593</v>
      </c>
      <c r="C241" s="342" t="s">
        <v>4</v>
      </c>
      <c r="D241" s="371">
        <v>0</v>
      </c>
      <c r="E241" s="344"/>
      <c r="F241" s="344">
        <f>D241*E241</f>
        <v>0</v>
      </c>
    </row>
    <row r="242" spans="1:6" ht="15">
      <c r="A242" s="365" t="s">
        <v>382</v>
      </c>
      <c r="B242" s="366" t="s">
        <v>98</v>
      </c>
      <c r="C242" s="342"/>
      <c r="D242" s="371"/>
      <c r="E242" s="344"/>
      <c r="F242" s="344"/>
    </row>
    <row r="243" spans="1:6" ht="15">
      <c r="A243" s="365" t="s">
        <v>449</v>
      </c>
      <c r="B243" s="366" t="s">
        <v>20</v>
      </c>
      <c r="C243" s="342" t="s">
        <v>10</v>
      </c>
      <c r="D243" s="371">
        <f>(31*0.2*0.15*4)*0</f>
        <v>0</v>
      </c>
      <c r="E243" s="344"/>
      <c r="F243" s="344">
        <f>D243*E243</f>
        <v>0</v>
      </c>
    </row>
    <row r="244" spans="1:6" ht="15">
      <c r="A244" s="365" t="s">
        <v>450</v>
      </c>
      <c r="B244" s="366" t="s">
        <v>22</v>
      </c>
      <c r="C244" s="342" t="s">
        <v>23</v>
      </c>
      <c r="D244" s="371">
        <f>D243*80</f>
        <v>0</v>
      </c>
      <c r="E244" s="344"/>
      <c r="F244" s="344">
        <f>D244*E244</f>
        <v>0</v>
      </c>
    </row>
    <row r="245" spans="1:6" ht="15">
      <c r="A245" s="365" t="s">
        <v>451</v>
      </c>
      <c r="B245" s="366" t="s">
        <v>21</v>
      </c>
      <c r="C245" s="342" t="s">
        <v>4</v>
      </c>
      <c r="D245" s="371">
        <f>D243*12</f>
        <v>0</v>
      </c>
      <c r="E245" s="344"/>
      <c r="F245" s="344">
        <f>D245*E245</f>
        <v>0</v>
      </c>
    </row>
    <row r="246" spans="1:6" ht="15">
      <c r="A246" s="365" t="s">
        <v>27</v>
      </c>
      <c r="B246" s="366" t="s">
        <v>594</v>
      </c>
      <c r="C246" s="342"/>
      <c r="D246" s="348"/>
      <c r="E246" s="344"/>
      <c r="F246" s="344"/>
    </row>
    <row r="247" spans="1:6" s="376" customFormat="1" ht="15">
      <c r="A247" s="375" t="s">
        <v>209</v>
      </c>
      <c r="B247" s="369" t="s">
        <v>20</v>
      </c>
      <c r="C247" s="370" t="s">
        <v>10</v>
      </c>
      <c r="D247" s="371">
        <v>0</v>
      </c>
      <c r="E247" s="349"/>
      <c r="F247" s="349">
        <f t="shared" ref="F247:F253" si="6">D247*E247</f>
        <v>0</v>
      </c>
    </row>
    <row r="248" spans="1:6" ht="15">
      <c r="A248" s="365" t="s">
        <v>210</v>
      </c>
      <c r="B248" s="366" t="s">
        <v>22</v>
      </c>
      <c r="C248" s="342" t="s">
        <v>23</v>
      </c>
      <c r="D248" s="348">
        <f>D247*80</f>
        <v>0</v>
      </c>
      <c r="E248" s="344"/>
      <c r="F248" s="344">
        <f t="shared" si="6"/>
        <v>0</v>
      </c>
    </row>
    <row r="249" spans="1:6" ht="15">
      <c r="A249" s="365" t="s">
        <v>211</v>
      </c>
      <c r="B249" s="366" t="s">
        <v>100</v>
      </c>
      <c r="C249" s="342" t="s">
        <v>4</v>
      </c>
      <c r="D249" s="348">
        <f>D247*2</f>
        <v>0</v>
      </c>
      <c r="E249" s="344"/>
      <c r="F249" s="344">
        <f t="shared" si="6"/>
        <v>0</v>
      </c>
    </row>
    <row r="250" spans="1:6" ht="15" hidden="1">
      <c r="A250" s="365" t="s">
        <v>101</v>
      </c>
      <c r="B250" s="366" t="s">
        <v>452</v>
      </c>
      <c r="C250" s="342"/>
      <c r="D250" s="348"/>
      <c r="E250" s="344"/>
      <c r="F250" s="344">
        <f t="shared" si="6"/>
        <v>0</v>
      </c>
    </row>
    <row r="251" spans="1:6" ht="15" hidden="1">
      <c r="A251" s="365" t="s">
        <v>453</v>
      </c>
      <c r="B251" s="366" t="s">
        <v>20</v>
      </c>
      <c r="C251" s="342" t="s">
        <v>10</v>
      </c>
      <c r="D251" s="348">
        <v>0</v>
      </c>
      <c r="E251" s="344"/>
      <c r="F251" s="344">
        <f t="shared" si="6"/>
        <v>0</v>
      </c>
    </row>
    <row r="252" spans="1:6" ht="15" hidden="1">
      <c r="A252" s="365" t="s">
        <v>454</v>
      </c>
      <c r="B252" s="366" t="s">
        <v>455</v>
      </c>
      <c r="C252" s="342" t="s">
        <v>23</v>
      </c>
      <c r="D252" s="348">
        <v>0</v>
      </c>
      <c r="E252" s="344"/>
      <c r="F252" s="344">
        <f t="shared" si="6"/>
        <v>0</v>
      </c>
    </row>
    <row r="253" spans="1:6" ht="15" hidden="1">
      <c r="A253" s="365" t="s">
        <v>456</v>
      </c>
      <c r="B253" s="366" t="s">
        <v>100</v>
      </c>
      <c r="C253" s="342" t="s">
        <v>4</v>
      </c>
      <c r="D253" s="348">
        <v>0</v>
      </c>
      <c r="E253" s="344"/>
      <c r="F253" s="344">
        <f t="shared" si="6"/>
        <v>0</v>
      </c>
    </row>
    <row r="254" spans="1:6" ht="15">
      <c r="A254" s="365" t="s">
        <v>28</v>
      </c>
      <c r="B254" s="366" t="s">
        <v>102</v>
      </c>
      <c r="C254" s="342"/>
      <c r="D254" s="348"/>
      <c r="E254" s="344"/>
      <c r="F254" s="344"/>
    </row>
    <row r="255" spans="1:6" ht="15">
      <c r="A255" s="365"/>
      <c r="B255" s="366" t="s">
        <v>458</v>
      </c>
      <c r="C255" s="342"/>
      <c r="D255" s="348"/>
      <c r="E255" s="344"/>
      <c r="F255" s="344"/>
    </row>
    <row r="256" spans="1:6" ht="15">
      <c r="A256" s="365" t="s">
        <v>459</v>
      </c>
      <c r="B256" s="366" t="s">
        <v>20</v>
      </c>
      <c r="C256" s="342" t="s">
        <v>10</v>
      </c>
      <c r="D256" s="371">
        <f>(8*2*0.1*0.15+7*3*0.1*0.15)*0</f>
        <v>0</v>
      </c>
      <c r="E256" s="344"/>
      <c r="F256" s="344">
        <f t="shared" ref="F256:F262" si="7">D256*E256</f>
        <v>0</v>
      </c>
    </row>
    <row r="257" spans="1:6" ht="15">
      <c r="A257" s="365" t="s">
        <v>460</v>
      </c>
      <c r="B257" s="366" t="s">
        <v>22</v>
      </c>
      <c r="C257" s="342" t="s">
        <v>23</v>
      </c>
      <c r="D257" s="371">
        <f>D256*80</f>
        <v>0</v>
      </c>
      <c r="E257" s="344"/>
      <c r="F257" s="344">
        <f t="shared" si="7"/>
        <v>0</v>
      </c>
    </row>
    <row r="258" spans="1:6" ht="15">
      <c r="A258" s="365" t="s">
        <v>461</v>
      </c>
      <c r="B258" s="366" t="s">
        <v>100</v>
      </c>
      <c r="C258" s="342" t="s">
        <v>4</v>
      </c>
      <c r="D258" s="371">
        <f>D256*2</f>
        <v>0</v>
      </c>
      <c r="E258" s="344"/>
      <c r="F258" s="344">
        <f t="shared" si="7"/>
        <v>0</v>
      </c>
    </row>
    <row r="259" spans="1:6" ht="15" hidden="1">
      <c r="A259" s="365" t="s">
        <v>29</v>
      </c>
      <c r="B259" s="366" t="s">
        <v>462</v>
      </c>
      <c r="C259" s="342"/>
      <c r="D259" s="371"/>
      <c r="E259" s="344"/>
      <c r="F259" s="344">
        <f t="shared" si="7"/>
        <v>0</v>
      </c>
    </row>
    <row r="260" spans="1:6" ht="15" hidden="1">
      <c r="A260" s="365" t="s">
        <v>213</v>
      </c>
      <c r="B260" s="366" t="s">
        <v>20</v>
      </c>
      <c r="C260" s="342" t="s">
        <v>10</v>
      </c>
      <c r="D260" s="371">
        <v>0</v>
      </c>
      <c r="E260" s="344"/>
      <c r="F260" s="344">
        <f t="shared" si="7"/>
        <v>0</v>
      </c>
    </row>
    <row r="261" spans="1:6" ht="15" hidden="1">
      <c r="A261" s="365" t="s">
        <v>214</v>
      </c>
      <c r="B261" s="366" t="s">
        <v>22</v>
      </c>
      <c r="C261" s="342" t="s">
        <v>23</v>
      </c>
      <c r="D261" s="371">
        <v>0</v>
      </c>
      <c r="E261" s="344"/>
      <c r="F261" s="344">
        <f t="shared" si="7"/>
        <v>0</v>
      </c>
    </row>
    <row r="262" spans="1:6" ht="15.6" hidden="1" thickBot="1">
      <c r="A262" s="377" t="s">
        <v>215</v>
      </c>
      <c r="B262" s="378" t="s">
        <v>100</v>
      </c>
      <c r="C262" s="379" t="s">
        <v>4</v>
      </c>
      <c r="D262" s="371">
        <v>0</v>
      </c>
      <c r="E262" s="344"/>
      <c r="F262" s="344">
        <f t="shared" si="7"/>
        <v>0</v>
      </c>
    </row>
    <row r="263" spans="1:6" ht="15">
      <c r="A263" s="365" t="s">
        <v>216</v>
      </c>
      <c r="B263" s="366" t="s">
        <v>33</v>
      </c>
      <c r="C263" s="342"/>
      <c r="D263" s="371"/>
      <c r="E263" s="344"/>
      <c r="F263" s="344"/>
    </row>
    <row r="264" spans="1:6" ht="15">
      <c r="A264" s="365" t="s">
        <v>217</v>
      </c>
      <c r="B264" s="366" t="s">
        <v>463</v>
      </c>
      <c r="C264" s="342" t="s">
        <v>4</v>
      </c>
      <c r="D264" s="371">
        <f>D240*2*1.1</f>
        <v>0</v>
      </c>
      <c r="E264" s="344"/>
      <c r="F264" s="344">
        <f>D264*E264</f>
        <v>0</v>
      </c>
    </row>
    <row r="265" spans="1:6" ht="15">
      <c r="A265" s="365" t="s">
        <v>464</v>
      </c>
      <c r="B265" s="366" t="s">
        <v>465</v>
      </c>
      <c r="C265" s="342" t="s">
        <v>4</v>
      </c>
      <c r="D265" s="348">
        <v>0</v>
      </c>
      <c r="E265" s="344"/>
      <c r="F265" s="344">
        <f>D265*E265</f>
        <v>0</v>
      </c>
    </row>
    <row r="266" spans="1:6" ht="15">
      <c r="A266" s="365" t="s">
        <v>466</v>
      </c>
      <c r="B266" s="366" t="s">
        <v>103</v>
      </c>
      <c r="C266" s="342"/>
      <c r="D266" s="348"/>
      <c r="E266" s="344"/>
      <c r="F266" s="344"/>
    </row>
    <row r="267" spans="1:6" ht="29.25" customHeight="1">
      <c r="A267" s="365"/>
      <c r="B267" s="367" t="s">
        <v>595</v>
      </c>
      <c r="C267" s="342" t="s">
        <v>4</v>
      </c>
      <c r="D267" s="348">
        <v>0</v>
      </c>
      <c r="E267" s="344"/>
      <c r="F267" s="344">
        <f>D267*E267</f>
        <v>0</v>
      </c>
    </row>
    <row r="268" spans="1:6" ht="17.399999999999999">
      <c r="A268" s="365" t="s">
        <v>466</v>
      </c>
      <c r="B268" s="366" t="s">
        <v>596</v>
      </c>
      <c r="C268" s="342" t="s">
        <v>104</v>
      </c>
      <c r="D268" s="348">
        <v>0</v>
      </c>
      <c r="E268" s="344"/>
      <c r="F268" s="344">
        <f>D268*E268</f>
        <v>0</v>
      </c>
    </row>
    <row r="269" spans="1:6" ht="15.6">
      <c r="A269" s="363" t="s">
        <v>6</v>
      </c>
      <c r="B269" s="364" t="s">
        <v>34</v>
      </c>
      <c r="C269" s="342"/>
      <c r="D269" s="348"/>
      <c r="E269" s="344"/>
      <c r="F269" s="344"/>
    </row>
    <row r="270" spans="1:6" ht="15">
      <c r="A270" s="365" t="s">
        <v>221</v>
      </c>
      <c r="B270" s="366" t="s">
        <v>597</v>
      </c>
      <c r="C270" s="342" t="s">
        <v>9</v>
      </c>
      <c r="D270" s="348">
        <v>2</v>
      </c>
      <c r="E270" s="344"/>
      <c r="F270" s="344">
        <f>D270*E270</f>
        <v>0</v>
      </c>
    </row>
    <row r="271" spans="1:6" ht="15">
      <c r="A271" s="365" t="s">
        <v>221</v>
      </c>
      <c r="B271" s="366" t="s">
        <v>470</v>
      </c>
      <c r="C271" s="342" t="s">
        <v>9</v>
      </c>
      <c r="D271" s="348">
        <v>2</v>
      </c>
      <c r="E271" s="344"/>
      <c r="F271" s="344">
        <f>D271*E271</f>
        <v>0</v>
      </c>
    </row>
    <row r="272" spans="1:6" ht="15.6">
      <c r="A272" s="365" t="s">
        <v>30</v>
      </c>
      <c r="B272" s="364" t="s">
        <v>35</v>
      </c>
      <c r="C272" s="342"/>
      <c r="D272" s="348"/>
      <c r="E272" s="344"/>
      <c r="F272" s="344"/>
    </row>
    <row r="273" spans="1:6" ht="15">
      <c r="A273" s="365" t="s">
        <v>471</v>
      </c>
      <c r="B273" s="366" t="s">
        <v>472</v>
      </c>
      <c r="C273" s="342" t="s">
        <v>182</v>
      </c>
      <c r="D273" s="348">
        <v>0</v>
      </c>
      <c r="E273" s="344"/>
      <c r="F273" s="344">
        <f>D273*E273</f>
        <v>0</v>
      </c>
    </row>
    <row r="274" spans="1:6" ht="15">
      <c r="A274" s="365" t="s">
        <v>471</v>
      </c>
      <c r="B274" s="366" t="s">
        <v>105</v>
      </c>
      <c r="C274" s="342" t="s">
        <v>10</v>
      </c>
      <c r="D274" s="382">
        <v>3.87</v>
      </c>
      <c r="E274" s="344"/>
      <c r="F274" s="344">
        <f>D274*E274</f>
        <v>0</v>
      </c>
    </row>
    <row r="275" spans="1:6" ht="15">
      <c r="A275" s="365" t="s">
        <v>473</v>
      </c>
      <c r="B275" s="347" t="s">
        <v>474</v>
      </c>
      <c r="C275" s="342" t="s">
        <v>10</v>
      </c>
      <c r="D275" s="382">
        <v>1.718</v>
      </c>
      <c r="E275" s="344"/>
      <c r="F275" s="344">
        <f>D275*E275</f>
        <v>0</v>
      </c>
    </row>
    <row r="276" spans="1:6" ht="15">
      <c r="A276" s="365" t="s">
        <v>475</v>
      </c>
      <c r="B276" s="366" t="s">
        <v>87</v>
      </c>
      <c r="C276" s="342" t="s">
        <v>10</v>
      </c>
      <c r="D276" s="382">
        <v>0.96799999999999997</v>
      </c>
      <c r="E276" s="344"/>
      <c r="F276" s="344">
        <f>D276*E276</f>
        <v>0</v>
      </c>
    </row>
    <row r="277" spans="1:6" ht="15">
      <c r="A277" s="365" t="s">
        <v>223</v>
      </c>
      <c r="B277" s="366" t="s">
        <v>106</v>
      </c>
      <c r="C277" s="342" t="s">
        <v>4</v>
      </c>
      <c r="D277" s="382">
        <v>10</v>
      </c>
      <c r="E277" s="344"/>
      <c r="F277" s="344">
        <f>D277*E277</f>
        <v>0</v>
      </c>
    </row>
    <row r="278" spans="1:6" ht="15">
      <c r="A278" s="365" t="s">
        <v>476</v>
      </c>
      <c r="B278" s="366" t="s">
        <v>477</v>
      </c>
      <c r="C278" s="342"/>
      <c r="D278" s="382"/>
      <c r="E278" s="344"/>
      <c r="F278" s="344"/>
    </row>
    <row r="279" spans="1:6" ht="15">
      <c r="A279" s="365" t="s">
        <v>478</v>
      </c>
      <c r="B279" s="366" t="s">
        <v>20</v>
      </c>
      <c r="C279" s="342" t="s">
        <v>10</v>
      </c>
      <c r="D279" s="382">
        <v>1.292</v>
      </c>
      <c r="E279" s="344"/>
      <c r="F279" s="344">
        <f>D279*E279</f>
        <v>0</v>
      </c>
    </row>
    <row r="280" spans="1:6" ht="15">
      <c r="A280" s="365" t="s">
        <v>479</v>
      </c>
      <c r="B280" s="366" t="s">
        <v>100</v>
      </c>
      <c r="C280" s="342" t="s">
        <v>4</v>
      </c>
      <c r="D280" s="382">
        <v>2.58</v>
      </c>
      <c r="E280" s="344"/>
      <c r="F280" s="344">
        <f>D280*E280</f>
        <v>0</v>
      </c>
    </row>
    <row r="281" spans="1:6" ht="15">
      <c r="A281" s="365" t="s">
        <v>480</v>
      </c>
      <c r="B281" s="366" t="s">
        <v>481</v>
      </c>
      <c r="C281" s="342" t="s">
        <v>4</v>
      </c>
      <c r="D281" s="382">
        <v>7.09</v>
      </c>
      <c r="E281" s="344"/>
      <c r="F281" s="344">
        <f>D281*E281</f>
        <v>0</v>
      </c>
    </row>
    <row r="282" spans="1:6" ht="15.6">
      <c r="A282" s="365" t="s">
        <v>31</v>
      </c>
      <c r="B282" s="364" t="s">
        <v>36</v>
      </c>
      <c r="C282" s="342"/>
      <c r="D282" s="348"/>
      <c r="E282" s="344"/>
      <c r="F282" s="344"/>
    </row>
    <row r="283" spans="1:6" ht="15">
      <c r="A283" s="365" t="s">
        <v>482</v>
      </c>
      <c r="B283" s="366" t="s">
        <v>105</v>
      </c>
      <c r="C283" s="342" t="s">
        <v>10</v>
      </c>
      <c r="D283" s="348">
        <f>(2+1.2)*0.4*0.4</f>
        <v>0.51200000000000012</v>
      </c>
      <c r="E283" s="344"/>
      <c r="F283" s="344">
        <f>D283*E283</f>
        <v>0</v>
      </c>
    </row>
    <row r="284" spans="1:6" ht="15">
      <c r="A284" s="365" t="s">
        <v>483</v>
      </c>
      <c r="B284" s="347" t="s">
        <v>107</v>
      </c>
      <c r="C284" s="342" t="s">
        <v>10</v>
      </c>
      <c r="D284" s="348">
        <v>0</v>
      </c>
      <c r="E284" s="344"/>
      <c r="F284" s="344">
        <f>D284*E284</f>
        <v>0</v>
      </c>
    </row>
    <row r="285" spans="1:6" ht="15">
      <c r="A285" s="365" t="s">
        <v>484</v>
      </c>
      <c r="B285" s="366" t="s">
        <v>87</v>
      </c>
      <c r="C285" s="342" t="s">
        <v>10</v>
      </c>
      <c r="D285" s="348">
        <f>(2+1.2)*0.4*0.05</f>
        <v>6.4000000000000015E-2</v>
      </c>
      <c r="E285" s="344"/>
      <c r="F285" s="344">
        <f>D285*E285</f>
        <v>0</v>
      </c>
    </row>
    <row r="286" spans="1:6" ht="15">
      <c r="A286" s="365" t="s">
        <v>485</v>
      </c>
      <c r="B286" s="366" t="s">
        <v>106</v>
      </c>
      <c r="C286" s="342" t="s">
        <v>4</v>
      </c>
      <c r="D286" s="348">
        <f>2*0.4</f>
        <v>0.8</v>
      </c>
      <c r="E286" s="344"/>
      <c r="F286" s="344">
        <f>D286*E286</f>
        <v>0</v>
      </c>
    </row>
    <row r="287" spans="1:6" ht="15">
      <c r="A287" s="365" t="s">
        <v>32</v>
      </c>
      <c r="B287" s="366" t="s">
        <v>486</v>
      </c>
      <c r="C287" s="342"/>
      <c r="D287" s="348"/>
      <c r="E287" s="344"/>
      <c r="F287" s="344"/>
    </row>
    <row r="288" spans="1:6" ht="15">
      <c r="A288" s="365" t="s">
        <v>487</v>
      </c>
      <c r="B288" s="366" t="s">
        <v>20</v>
      </c>
      <c r="C288" s="342" t="s">
        <v>10</v>
      </c>
      <c r="D288" s="348">
        <f>2*2.2*0.15</f>
        <v>0.66</v>
      </c>
      <c r="E288" s="344"/>
      <c r="F288" s="344">
        <f t="shared" ref="F288:F299" si="8">D288*E288</f>
        <v>0</v>
      </c>
    </row>
    <row r="289" spans="1:6" ht="15">
      <c r="A289" s="365" t="s">
        <v>488</v>
      </c>
      <c r="B289" s="366" t="s">
        <v>300</v>
      </c>
      <c r="C289" s="342" t="s">
        <v>23</v>
      </c>
      <c r="D289" s="348">
        <f>D288*12</f>
        <v>7.92</v>
      </c>
      <c r="E289" s="344"/>
      <c r="F289" s="344">
        <f t="shared" si="8"/>
        <v>0</v>
      </c>
    </row>
    <row r="290" spans="1:6" ht="15">
      <c r="A290" s="365" t="s">
        <v>489</v>
      </c>
      <c r="B290" s="366" t="s">
        <v>100</v>
      </c>
      <c r="C290" s="342" t="s">
        <v>4</v>
      </c>
      <c r="D290" s="348">
        <f>D288*2</f>
        <v>1.32</v>
      </c>
      <c r="E290" s="344"/>
      <c r="F290" s="344">
        <f t="shared" si="8"/>
        <v>0</v>
      </c>
    </row>
    <row r="291" spans="1:6" ht="15.6" hidden="1">
      <c r="A291" s="365" t="s">
        <v>108</v>
      </c>
      <c r="B291" s="364" t="s">
        <v>490</v>
      </c>
      <c r="C291" s="342"/>
      <c r="D291" s="348"/>
      <c r="E291" s="344"/>
      <c r="F291" s="344">
        <f t="shared" si="8"/>
        <v>0</v>
      </c>
    </row>
    <row r="292" spans="1:6" ht="15.6" hidden="1">
      <c r="A292" s="365"/>
      <c r="B292" s="364" t="s">
        <v>491</v>
      </c>
      <c r="C292" s="342"/>
      <c r="D292" s="348"/>
      <c r="E292" s="344"/>
      <c r="F292" s="344">
        <f t="shared" si="8"/>
        <v>0</v>
      </c>
    </row>
    <row r="293" spans="1:6" ht="15" hidden="1">
      <c r="A293" s="365" t="s">
        <v>109</v>
      </c>
      <c r="B293" s="366" t="s">
        <v>20</v>
      </c>
      <c r="C293" s="342" t="s">
        <v>10</v>
      </c>
      <c r="D293" s="348">
        <v>0</v>
      </c>
      <c r="E293" s="344"/>
      <c r="F293" s="344">
        <f t="shared" si="8"/>
        <v>0</v>
      </c>
    </row>
    <row r="294" spans="1:6" ht="15" hidden="1">
      <c r="A294" s="365" t="s">
        <v>110</v>
      </c>
      <c r="B294" s="366" t="s">
        <v>300</v>
      </c>
      <c r="C294" s="342" t="s">
        <v>23</v>
      </c>
      <c r="D294" s="348">
        <v>0</v>
      </c>
      <c r="E294" s="344"/>
      <c r="F294" s="344">
        <f t="shared" si="8"/>
        <v>0</v>
      </c>
    </row>
    <row r="295" spans="1:6" ht="15" hidden="1">
      <c r="A295" s="365" t="s">
        <v>111</v>
      </c>
      <c r="B295" s="366" t="s">
        <v>492</v>
      </c>
      <c r="C295" s="342" t="s">
        <v>4</v>
      </c>
      <c r="D295" s="348">
        <v>0</v>
      </c>
      <c r="E295" s="344"/>
      <c r="F295" s="344">
        <f t="shared" si="8"/>
        <v>0</v>
      </c>
    </row>
    <row r="296" spans="1:6" ht="15" hidden="1">
      <c r="A296" s="365" t="s">
        <v>112</v>
      </c>
      <c r="B296" s="366" t="s">
        <v>493</v>
      </c>
      <c r="C296" s="342"/>
      <c r="D296" s="348"/>
      <c r="E296" s="344"/>
      <c r="F296" s="344">
        <f t="shared" si="8"/>
        <v>0</v>
      </c>
    </row>
    <row r="297" spans="1:6" ht="15" hidden="1">
      <c r="A297" s="365" t="s">
        <v>383</v>
      </c>
      <c r="B297" s="366" t="s">
        <v>20</v>
      </c>
      <c r="C297" s="342" t="s">
        <v>10</v>
      </c>
      <c r="D297" s="348">
        <v>0</v>
      </c>
      <c r="E297" s="344"/>
      <c r="F297" s="344">
        <f t="shared" si="8"/>
        <v>0</v>
      </c>
    </row>
    <row r="298" spans="1:6" ht="15" hidden="1">
      <c r="A298" s="365" t="s">
        <v>113</v>
      </c>
      <c r="B298" s="366" t="s">
        <v>300</v>
      </c>
      <c r="C298" s="342" t="s">
        <v>23</v>
      </c>
      <c r="D298" s="348">
        <v>0</v>
      </c>
      <c r="E298" s="344"/>
      <c r="F298" s="344">
        <f t="shared" si="8"/>
        <v>0</v>
      </c>
    </row>
    <row r="299" spans="1:6" ht="15" hidden="1">
      <c r="A299" s="365" t="s">
        <v>284</v>
      </c>
      <c r="B299" s="366" t="s">
        <v>492</v>
      </c>
      <c r="C299" s="342" t="s">
        <v>4</v>
      </c>
      <c r="D299" s="348">
        <v>0</v>
      </c>
      <c r="E299" s="344"/>
      <c r="F299" s="344">
        <f t="shared" si="8"/>
        <v>0</v>
      </c>
    </row>
    <row r="300" spans="1:6" ht="15.6">
      <c r="A300" s="365" t="s">
        <v>494</v>
      </c>
      <c r="B300" s="364" t="s">
        <v>114</v>
      </c>
      <c r="C300" s="342"/>
      <c r="D300" s="348"/>
      <c r="E300" s="344"/>
      <c r="F300" s="344"/>
    </row>
    <row r="301" spans="1:6" ht="15">
      <c r="A301" s="365" t="s">
        <v>495</v>
      </c>
      <c r="B301" s="366" t="s">
        <v>496</v>
      </c>
      <c r="C301" s="342" t="s">
        <v>4</v>
      </c>
      <c r="D301" s="348">
        <f>6*1.1*2</f>
        <v>13.200000000000001</v>
      </c>
      <c r="E301" s="344"/>
      <c r="F301" s="344">
        <f>D301*E301</f>
        <v>0</v>
      </c>
    </row>
    <row r="302" spans="1:6" ht="15">
      <c r="A302" s="365" t="s">
        <v>495</v>
      </c>
      <c r="B302" s="366" t="s">
        <v>598</v>
      </c>
      <c r="C302" s="342" t="s">
        <v>9</v>
      </c>
      <c r="D302" s="348">
        <v>2</v>
      </c>
      <c r="E302" s="344"/>
      <c r="F302" s="344">
        <f>D302*E302</f>
        <v>0</v>
      </c>
    </row>
    <row r="303" spans="1:6" ht="15">
      <c r="A303" s="365" t="s">
        <v>495</v>
      </c>
      <c r="B303" s="366" t="s">
        <v>498</v>
      </c>
      <c r="C303" s="342" t="s">
        <v>7</v>
      </c>
      <c r="D303" s="348">
        <f>6*2</f>
        <v>12</v>
      </c>
      <c r="E303" s="344"/>
      <c r="F303" s="344">
        <f>D303*E303</f>
        <v>0</v>
      </c>
    </row>
    <row r="304" spans="1:6" ht="15">
      <c r="A304" s="365" t="s">
        <v>599</v>
      </c>
      <c r="B304" s="366" t="s">
        <v>600</v>
      </c>
      <c r="C304" s="342" t="s">
        <v>9</v>
      </c>
      <c r="D304" s="348">
        <v>0</v>
      </c>
      <c r="E304" s="344"/>
      <c r="F304" s="344">
        <f>D304*E304</f>
        <v>0</v>
      </c>
    </row>
    <row r="305" spans="1:6" ht="15.6" thickBot="1">
      <c r="A305" s="365" t="s">
        <v>499</v>
      </c>
      <c r="B305" s="366" t="s">
        <v>500</v>
      </c>
      <c r="C305" s="342" t="s">
        <v>9</v>
      </c>
      <c r="D305" s="348">
        <v>2</v>
      </c>
      <c r="E305" s="344"/>
      <c r="F305" s="344">
        <f>D305*E305</f>
        <v>0</v>
      </c>
    </row>
    <row r="306" spans="1:6" ht="17.55" customHeight="1" thickBot="1">
      <c r="A306" s="350"/>
      <c r="B306" s="359" t="s">
        <v>115</v>
      </c>
      <c r="C306" s="335"/>
      <c r="D306" s="336"/>
      <c r="E306" s="353"/>
      <c r="F306" s="353">
        <f>SUM(F212:F305)</f>
        <v>0</v>
      </c>
    </row>
    <row r="307" spans="1:6" ht="16.2" thickBot="1">
      <c r="A307" s="350"/>
      <c r="B307" s="351" t="s">
        <v>501</v>
      </c>
      <c r="C307" s="335"/>
      <c r="D307" s="336"/>
      <c r="E307" s="353"/>
      <c r="F307" s="353">
        <f>F209+F306</f>
        <v>0</v>
      </c>
    </row>
    <row r="308" spans="1:6" s="376" customFormat="1" ht="15.6">
      <c r="A308" s="383">
        <v>3</v>
      </c>
      <c r="B308" s="384" t="s">
        <v>502</v>
      </c>
      <c r="C308" s="385"/>
      <c r="D308" s="371"/>
      <c r="E308" s="349"/>
      <c r="F308" s="349"/>
    </row>
    <row r="309" spans="1:6" ht="15">
      <c r="A309" s="365" t="s">
        <v>116</v>
      </c>
      <c r="B309" s="366" t="s">
        <v>117</v>
      </c>
      <c r="C309" s="342"/>
      <c r="D309" s="342"/>
      <c r="E309" s="344"/>
      <c r="F309" s="344"/>
    </row>
    <row r="310" spans="1:6" ht="15">
      <c r="A310" s="346" t="s">
        <v>118</v>
      </c>
      <c r="B310" s="347" t="s">
        <v>620</v>
      </c>
      <c r="C310" s="342" t="s">
        <v>503</v>
      </c>
      <c r="D310" s="342">
        <v>1</v>
      </c>
      <c r="E310" s="386"/>
      <c r="F310" s="344">
        <f t="shared" ref="F310:F317" si="9">D310*E310</f>
        <v>0</v>
      </c>
    </row>
    <row r="311" spans="1:6" ht="15">
      <c r="A311" s="346" t="s">
        <v>119</v>
      </c>
      <c r="B311" s="347" t="s">
        <v>622</v>
      </c>
      <c r="C311" s="342" t="s">
        <v>503</v>
      </c>
      <c r="D311" s="342">
        <v>1</v>
      </c>
      <c r="E311" s="386"/>
      <c r="F311" s="344">
        <f t="shared" si="9"/>
        <v>0</v>
      </c>
    </row>
    <row r="312" spans="1:6" ht="15" hidden="1">
      <c r="A312" s="346" t="s">
        <v>121</v>
      </c>
      <c r="B312" s="347" t="s">
        <v>504</v>
      </c>
      <c r="C312" s="342" t="s">
        <v>7</v>
      </c>
      <c r="D312" s="342"/>
      <c r="E312" s="387"/>
      <c r="F312" s="344">
        <f t="shared" si="9"/>
        <v>0</v>
      </c>
    </row>
    <row r="313" spans="1:6" ht="15" hidden="1">
      <c r="A313" s="346" t="s">
        <v>119</v>
      </c>
      <c r="B313" s="347" t="s">
        <v>505</v>
      </c>
      <c r="C313" s="342" t="s">
        <v>7</v>
      </c>
      <c r="D313" s="342"/>
      <c r="E313" s="387"/>
      <c r="F313" s="344">
        <f t="shared" si="9"/>
        <v>0</v>
      </c>
    </row>
    <row r="314" spans="1:6" ht="15" hidden="1">
      <c r="A314" s="346" t="s">
        <v>506</v>
      </c>
      <c r="B314" s="347" t="s">
        <v>507</v>
      </c>
      <c r="C314" s="342" t="s">
        <v>7</v>
      </c>
      <c r="D314" s="342"/>
      <c r="E314" s="387"/>
      <c r="F314" s="344">
        <f t="shared" si="9"/>
        <v>0</v>
      </c>
    </row>
    <row r="315" spans="1:6" ht="15" hidden="1">
      <c r="A315" s="346" t="s">
        <v>508</v>
      </c>
      <c r="B315" s="347" t="s">
        <v>509</v>
      </c>
      <c r="C315" s="342" t="s">
        <v>7</v>
      </c>
      <c r="D315" s="342"/>
      <c r="E315" s="387"/>
      <c r="F315" s="344">
        <f t="shared" si="9"/>
        <v>0</v>
      </c>
    </row>
    <row r="316" spans="1:6" ht="15" hidden="1">
      <c r="A316" s="346" t="s">
        <v>510</v>
      </c>
      <c r="B316" s="347" t="s">
        <v>511</v>
      </c>
      <c r="C316" s="342" t="s">
        <v>7</v>
      </c>
      <c r="D316" s="342"/>
      <c r="E316" s="387"/>
      <c r="F316" s="344">
        <f t="shared" si="9"/>
        <v>0</v>
      </c>
    </row>
    <row r="317" spans="1:6" ht="15.6" thickBot="1">
      <c r="A317" s="346" t="s">
        <v>512</v>
      </c>
      <c r="B317" s="347" t="s">
        <v>122</v>
      </c>
      <c r="C317" s="342" t="s">
        <v>9</v>
      </c>
      <c r="D317" s="342">
        <v>0</v>
      </c>
      <c r="E317" s="344"/>
      <c r="F317" s="344">
        <f t="shared" si="9"/>
        <v>0</v>
      </c>
    </row>
    <row r="318" spans="1:6" ht="16.2" thickBot="1">
      <c r="A318" s="388"/>
      <c r="B318" s="351" t="s">
        <v>514</v>
      </c>
      <c r="C318" s="389"/>
      <c r="D318" s="390"/>
      <c r="E318" s="391"/>
      <c r="F318" s="353">
        <f>SUM(F310:F317)</f>
        <v>0</v>
      </c>
    </row>
    <row r="319" spans="1:6" ht="15.6">
      <c r="A319" s="392">
        <v>4</v>
      </c>
      <c r="B319" s="372" t="s">
        <v>515</v>
      </c>
      <c r="C319" s="362"/>
      <c r="D319" s="348"/>
      <c r="E319" s="345"/>
      <c r="F319" s="344"/>
    </row>
    <row r="320" spans="1:6" ht="15">
      <c r="A320" s="365" t="s">
        <v>123</v>
      </c>
      <c r="B320" s="366" t="s">
        <v>43</v>
      </c>
      <c r="C320" s="342"/>
      <c r="D320" s="348"/>
      <c r="E320" s="344"/>
      <c r="F320" s="344"/>
    </row>
    <row r="321" spans="1:6" ht="15.6">
      <c r="A321" s="365" t="s">
        <v>124</v>
      </c>
      <c r="B321" s="372" t="s">
        <v>44</v>
      </c>
      <c r="C321" s="342"/>
      <c r="D321" s="348"/>
      <c r="E321" s="344"/>
      <c r="F321" s="344"/>
    </row>
    <row r="322" spans="1:6" ht="15">
      <c r="A322" s="365" t="s">
        <v>516</v>
      </c>
      <c r="B322" s="366" t="s">
        <v>673</v>
      </c>
      <c r="C322" s="342" t="s">
        <v>4</v>
      </c>
      <c r="D322" s="348">
        <f>16.45*8</f>
        <v>131.6</v>
      </c>
      <c r="E322" s="344"/>
      <c r="F322" s="344">
        <f>D322*E322</f>
        <v>0</v>
      </c>
    </row>
    <row r="323" spans="1:6" ht="15.6">
      <c r="A323" s="365" t="s">
        <v>125</v>
      </c>
      <c r="B323" s="372" t="s">
        <v>126</v>
      </c>
      <c r="C323" s="342"/>
      <c r="D323" s="348"/>
      <c r="E323" s="344"/>
      <c r="F323" s="344"/>
    </row>
    <row r="324" spans="1:6" ht="15.6">
      <c r="A324" s="365" t="s">
        <v>127</v>
      </c>
      <c r="B324" s="366" t="s">
        <v>668</v>
      </c>
      <c r="C324" s="342" t="s">
        <v>7</v>
      </c>
      <c r="D324" s="348">
        <v>16.45</v>
      </c>
      <c r="E324" s="344"/>
      <c r="F324" s="344">
        <f>D324*E324</f>
        <v>0</v>
      </c>
    </row>
    <row r="325" spans="1:6" ht="15.6">
      <c r="A325" s="365" t="s">
        <v>246</v>
      </c>
      <c r="B325" s="372" t="s">
        <v>130</v>
      </c>
      <c r="C325" s="356"/>
      <c r="D325" s="348"/>
      <c r="E325" s="374"/>
      <c r="F325" s="344"/>
    </row>
    <row r="326" spans="1:6" ht="15.6" thickBot="1">
      <c r="A326" s="377" t="s">
        <v>247</v>
      </c>
      <c r="B326" s="366" t="s">
        <v>601</v>
      </c>
      <c r="C326" s="379" t="s">
        <v>4</v>
      </c>
      <c r="D326" s="348">
        <f>(16.45*2+4*6)*0.4</f>
        <v>22.76</v>
      </c>
      <c r="E326" s="394"/>
      <c r="F326" s="344">
        <f>D326*E326</f>
        <v>0</v>
      </c>
    </row>
    <row r="327" spans="1:6" ht="16.2" thickBot="1">
      <c r="A327" s="388"/>
      <c r="B327" s="395" t="s">
        <v>517</v>
      </c>
      <c r="C327" s="335"/>
      <c r="D327" s="336"/>
      <c r="E327" s="353"/>
      <c r="F327" s="353">
        <f>SUM(F322:F326)</f>
        <v>0</v>
      </c>
    </row>
    <row r="328" spans="1:6" ht="15.6">
      <c r="A328" s="354">
        <v>5</v>
      </c>
      <c r="B328" s="396" t="s">
        <v>518</v>
      </c>
      <c r="C328" s="342"/>
      <c r="D328" s="348"/>
      <c r="E328" s="344"/>
      <c r="F328" s="344"/>
    </row>
    <row r="329" spans="1:6" ht="15.6">
      <c r="A329" s="347" t="s">
        <v>49</v>
      </c>
      <c r="B329" s="396" t="s">
        <v>51</v>
      </c>
      <c r="C329" s="342"/>
      <c r="D329" s="348"/>
      <c r="E329" s="344"/>
      <c r="F329" s="344"/>
    </row>
    <row r="330" spans="1:6" ht="15.6" thickBot="1">
      <c r="A330" s="366" t="s">
        <v>50</v>
      </c>
      <c r="B330" s="397" t="s">
        <v>519</v>
      </c>
      <c r="C330" s="342" t="s">
        <v>131</v>
      </c>
      <c r="D330" s="348">
        <v>1</v>
      </c>
      <c r="E330" s="344"/>
      <c r="F330" s="344">
        <f>D330*E330</f>
        <v>0</v>
      </c>
    </row>
    <row r="331" spans="1:6" ht="16.2" thickBot="1">
      <c r="A331" s="388"/>
      <c r="B331" s="398" t="s">
        <v>520</v>
      </c>
      <c r="C331" s="335"/>
      <c r="D331" s="336"/>
      <c r="E331" s="353"/>
      <c r="F331" s="353">
        <f>F330</f>
        <v>0</v>
      </c>
    </row>
    <row r="332" spans="1:6" ht="15.6">
      <c r="A332" s="346">
        <v>6</v>
      </c>
      <c r="B332" s="399" t="s">
        <v>521</v>
      </c>
      <c r="C332" s="400"/>
      <c r="D332" s="357"/>
      <c r="E332" s="358"/>
      <c r="F332" s="344"/>
    </row>
    <row r="333" spans="1:6" ht="15.6">
      <c r="A333" s="401" t="s">
        <v>325</v>
      </c>
      <c r="B333" s="396" t="s">
        <v>522</v>
      </c>
      <c r="C333" s="356"/>
      <c r="D333" s="357"/>
      <c r="E333" s="374"/>
      <c r="F333" s="344"/>
    </row>
    <row r="334" spans="1:6" ht="15">
      <c r="A334" s="401" t="s">
        <v>326</v>
      </c>
      <c r="B334" s="393" t="s">
        <v>602</v>
      </c>
      <c r="C334" s="342" t="s">
        <v>9</v>
      </c>
      <c r="D334" s="348">
        <v>2</v>
      </c>
      <c r="E334" s="342"/>
      <c r="F334" s="344">
        <f>D334*E334</f>
        <v>0</v>
      </c>
    </row>
    <row r="335" spans="1:6" ht="15">
      <c r="A335" s="401" t="s">
        <v>384</v>
      </c>
      <c r="B335" s="347" t="s">
        <v>524</v>
      </c>
      <c r="C335" s="342"/>
      <c r="D335" s="348"/>
      <c r="E335" s="344"/>
      <c r="F335" s="344">
        <f>D335*E335</f>
        <v>0</v>
      </c>
    </row>
    <row r="336" spans="1:6" ht="15">
      <c r="A336" s="401" t="s">
        <v>525</v>
      </c>
      <c r="B336" s="347" t="s">
        <v>526</v>
      </c>
      <c r="C336" s="342" t="s">
        <v>9</v>
      </c>
      <c r="D336" s="348">
        <v>0</v>
      </c>
      <c r="E336" s="344"/>
      <c r="F336" s="344">
        <f>D336*E336</f>
        <v>0</v>
      </c>
    </row>
    <row r="337" spans="1:6" ht="15">
      <c r="A337" s="401" t="s">
        <v>527</v>
      </c>
      <c r="B337" s="347" t="s">
        <v>259</v>
      </c>
      <c r="C337" s="342" t="s">
        <v>9</v>
      </c>
      <c r="D337" s="348">
        <v>0</v>
      </c>
      <c r="E337" s="344"/>
      <c r="F337" s="344">
        <f>D337*E337</f>
        <v>0</v>
      </c>
    </row>
    <row r="338" spans="1:6" ht="15.6">
      <c r="A338" s="401" t="s">
        <v>385</v>
      </c>
      <c r="B338" s="396" t="s">
        <v>528</v>
      </c>
      <c r="C338" s="356"/>
      <c r="D338" s="357"/>
      <c r="E338" s="374"/>
      <c r="F338" s="344"/>
    </row>
    <row r="339" spans="1:6" ht="15.6">
      <c r="A339" s="401" t="s">
        <v>386</v>
      </c>
      <c r="B339" s="393" t="s">
        <v>529</v>
      </c>
      <c r="C339" s="356"/>
      <c r="D339" s="357"/>
      <c r="E339" s="374"/>
      <c r="F339" s="344"/>
    </row>
    <row r="340" spans="1:6" ht="15">
      <c r="A340" s="401" t="s">
        <v>530</v>
      </c>
      <c r="B340" s="393" t="s">
        <v>531</v>
      </c>
      <c r="C340" s="342" t="s">
        <v>7</v>
      </c>
      <c r="D340" s="348">
        <v>0</v>
      </c>
      <c r="E340" s="344"/>
      <c r="F340" s="344">
        <f>D340*E340</f>
        <v>0</v>
      </c>
    </row>
    <row r="341" spans="1:6" ht="15.6" thickBot="1">
      <c r="A341" s="346" t="s">
        <v>532</v>
      </c>
      <c r="B341" s="393" t="s">
        <v>533</v>
      </c>
      <c r="C341" s="342" t="s">
        <v>4</v>
      </c>
      <c r="D341" s="348">
        <v>0</v>
      </c>
      <c r="E341" s="344"/>
      <c r="F341" s="344">
        <f>D341*E341</f>
        <v>0</v>
      </c>
    </row>
    <row r="342" spans="1:6" ht="16.2" thickBot="1">
      <c r="A342" s="402"/>
      <c r="B342" s="403" t="s">
        <v>534</v>
      </c>
      <c r="C342" s="335"/>
      <c r="D342" s="336"/>
      <c r="E342" s="353"/>
      <c r="F342" s="353">
        <f>SUM(F334:F341)</f>
        <v>0</v>
      </c>
    </row>
    <row r="343" spans="1:6" ht="15.6">
      <c r="A343" s="392">
        <v>7</v>
      </c>
      <c r="B343" s="372" t="s">
        <v>535</v>
      </c>
      <c r="C343" s="404"/>
      <c r="D343" s="405"/>
      <c r="E343" s="345"/>
      <c r="F343" s="344"/>
    </row>
    <row r="344" spans="1:6" ht="15" hidden="1">
      <c r="A344" s="393" t="s">
        <v>132</v>
      </c>
      <c r="B344" s="366" t="s">
        <v>536</v>
      </c>
      <c r="C344" s="342" t="s">
        <v>7</v>
      </c>
      <c r="D344" s="348">
        <v>0</v>
      </c>
      <c r="E344" s="344"/>
      <c r="F344" s="344">
        <f>D344*E344</f>
        <v>0</v>
      </c>
    </row>
    <row r="345" spans="1:6" ht="15" hidden="1">
      <c r="A345" s="393" t="s">
        <v>133</v>
      </c>
      <c r="B345" s="366" t="s">
        <v>537</v>
      </c>
      <c r="C345" s="342" t="s">
        <v>7</v>
      </c>
      <c r="D345" s="348">
        <v>0</v>
      </c>
      <c r="E345" s="344"/>
      <c r="F345" s="344">
        <f>D345*E345</f>
        <v>0</v>
      </c>
    </row>
    <row r="346" spans="1:6" ht="15">
      <c r="A346" s="393" t="s">
        <v>390</v>
      </c>
      <c r="B346" s="366" t="s">
        <v>538</v>
      </c>
      <c r="C346" s="342"/>
      <c r="D346" s="348"/>
      <c r="E346" s="344"/>
      <c r="F346" s="344"/>
    </row>
    <row r="347" spans="1:6" ht="15">
      <c r="A347" s="393"/>
      <c r="B347" s="366" t="s">
        <v>539</v>
      </c>
      <c r="C347" s="342" t="s">
        <v>4</v>
      </c>
      <c r="D347" s="348">
        <f>16.45*9</f>
        <v>148.04999999999998</v>
      </c>
      <c r="E347" s="344"/>
      <c r="F347" s="344">
        <f>D347*E347</f>
        <v>0</v>
      </c>
    </row>
    <row r="348" spans="1:6" ht="15.6" thickBot="1">
      <c r="A348" s="393"/>
      <c r="B348" s="366" t="s">
        <v>603</v>
      </c>
      <c r="C348" s="342" t="s">
        <v>4</v>
      </c>
      <c r="D348" s="348">
        <f>D347</f>
        <v>148.04999999999998</v>
      </c>
      <c r="E348" s="344"/>
      <c r="F348" s="344">
        <f>D348*E348</f>
        <v>0</v>
      </c>
    </row>
    <row r="349" spans="1:6" ht="16.2" thickBot="1">
      <c r="A349" s="388"/>
      <c r="B349" s="398" t="s">
        <v>541</v>
      </c>
      <c r="C349" s="335"/>
      <c r="D349" s="336"/>
      <c r="E349" s="391"/>
      <c r="F349" s="353">
        <f>SUM(F344:F348)</f>
        <v>0</v>
      </c>
    </row>
    <row r="350" spans="1:6" ht="21.6" customHeight="1">
      <c r="A350" s="354">
        <v>8</v>
      </c>
      <c r="B350" s="406" t="s">
        <v>604</v>
      </c>
      <c r="C350" s="400"/>
      <c r="D350" s="357"/>
      <c r="E350" s="358"/>
      <c r="F350" s="344"/>
    </row>
    <row r="351" spans="1:6" ht="15.6">
      <c r="A351" s="346" t="s">
        <v>330</v>
      </c>
      <c r="B351" s="406" t="s">
        <v>134</v>
      </c>
      <c r="C351" s="342"/>
      <c r="D351" s="348"/>
      <c r="E351" s="344"/>
      <c r="F351" s="344"/>
    </row>
    <row r="352" spans="1:6" ht="15">
      <c r="A352" s="346" t="s">
        <v>332</v>
      </c>
      <c r="B352" s="347" t="s">
        <v>623</v>
      </c>
      <c r="C352" s="342" t="s">
        <v>9</v>
      </c>
      <c r="D352" s="348">
        <v>2</v>
      </c>
      <c r="E352" s="344"/>
      <c r="F352" s="344">
        <f>D352*E352</f>
        <v>0</v>
      </c>
    </row>
    <row r="353" spans="1:7" ht="15">
      <c r="A353" s="346" t="s">
        <v>543</v>
      </c>
      <c r="B353" s="347" t="s">
        <v>605</v>
      </c>
      <c r="C353" s="342" t="s">
        <v>9</v>
      </c>
      <c r="D353" s="348">
        <v>0</v>
      </c>
      <c r="E353" s="344"/>
      <c r="F353" s="344">
        <f>D353*E353</f>
        <v>0</v>
      </c>
    </row>
    <row r="354" spans="1:7" ht="15.6">
      <c r="A354" s="346" t="s">
        <v>545</v>
      </c>
      <c r="B354" s="406" t="s">
        <v>135</v>
      </c>
      <c r="C354" s="342"/>
      <c r="D354" s="348"/>
      <c r="E354" s="344"/>
      <c r="F354" s="344"/>
    </row>
    <row r="355" spans="1:7" ht="15">
      <c r="A355" s="346" t="s">
        <v>546</v>
      </c>
      <c r="B355" s="347" t="s">
        <v>547</v>
      </c>
      <c r="C355" s="342" t="s">
        <v>9</v>
      </c>
      <c r="D355" s="342">
        <v>0</v>
      </c>
      <c r="E355" s="344"/>
      <c r="F355" s="344">
        <f>D355*E355</f>
        <v>0</v>
      </c>
    </row>
    <row r="356" spans="1:7" ht="15">
      <c r="A356" s="346" t="s">
        <v>548</v>
      </c>
      <c r="B356" s="347" t="s">
        <v>365</v>
      </c>
      <c r="C356" s="342" t="s">
        <v>9</v>
      </c>
      <c r="D356" s="342">
        <v>2</v>
      </c>
      <c r="E356" s="344"/>
      <c r="F356" s="344">
        <f>D356*E356</f>
        <v>0</v>
      </c>
    </row>
    <row r="357" spans="1:7" ht="15.6">
      <c r="A357" s="347" t="s">
        <v>549</v>
      </c>
      <c r="B357" s="341" t="s">
        <v>606</v>
      </c>
      <c r="C357" s="342"/>
      <c r="D357" s="342"/>
      <c r="E357" s="344"/>
      <c r="F357" s="344"/>
    </row>
    <row r="358" spans="1:7" ht="15">
      <c r="A358" s="347" t="s">
        <v>551</v>
      </c>
      <c r="B358" s="347" t="s">
        <v>552</v>
      </c>
      <c r="C358" s="342"/>
      <c r="D358" s="342"/>
      <c r="E358" s="344"/>
      <c r="F358" s="344"/>
    </row>
    <row r="359" spans="1:7" ht="15">
      <c r="A359" s="347" t="s">
        <v>553</v>
      </c>
      <c r="B359" s="347" t="s">
        <v>607</v>
      </c>
      <c r="C359" s="342" t="s">
        <v>9</v>
      </c>
      <c r="D359" s="342">
        <v>0</v>
      </c>
      <c r="E359" s="344"/>
      <c r="F359" s="344">
        <f>D359*E359</f>
        <v>0</v>
      </c>
    </row>
    <row r="360" spans="1:7" ht="15.6">
      <c r="A360" s="347" t="s">
        <v>555</v>
      </c>
      <c r="B360" s="341" t="s">
        <v>556</v>
      </c>
      <c r="C360" s="342"/>
      <c r="D360" s="342"/>
      <c r="E360" s="344"/>
      <c r="F360" s="344"/>
    </row>
    <row r="361" spans="1:7" ht="15">
      <c r="A361" s="347" t="s">
        <v>557</v>
      </c>
      <c r="B361" s="347" t="s">
        <v>558</v>
      </c>
      <c r="C361" s="342" t="s">
        <v>9</v>
      </c>
      <c r="D361" s="342">
        <v>0</v>
      </c>
      <c r="E361" s="344"/>
      <c r="F361" s="344">
        <f>D361*E361</f>
        <v>0</v>
      </c>
    </row>
    <row r="362" spans="1:7" ht="15.6" thickBot="1">
      <c r="A362" s="347" t="s">
        <v>559</v>
      </c>
      <c r="B362" s="347" t="s">
        <v>560</v>
      </c>
      <c r="C362" s="342" t="s">
        <v>9</v>
      </c>
      <c r="D362" s="342">
        <v>0</v>
      </c>
      <c r="E362" s="344"/>
      <c r="F362" s="344">
        <f>D362*E362</f>
        <v>0</v>
      </c>
    </row>
    <row r="363" spans="1:7" ht="16.2" thickBot="1">
      <c r="A363" s="388"/>
      <c r="B363" s="395" t="s">
        <v>561</v>
      </c>
      <c r="C363" s="389"/>
      <c r="D363" s="390"/>
      <c r="E363" s="391"/>
      <c r="F363" s="353">
        <f>SUM(F353:F362)</f>
        <v>0</v>
      </c>
    </row>
    <row r="364" spans="1:7" ht="15.6">
      <c r="A364" s="354">
        <v>9</v>
      </c>
      <c r="B364" s="341" t="s">
        <v>562</v>
      </c>
      <c r="C364" s="362"/>
      <c r="D364" s="343"/>
      <c r="E364" s="345"/>
      <c r="F364" s="344"/>
    </row>
    <row r="365" spans="1:7" ht="15.6">
      <c r="A365" s="354">
        <v>10</v>
      </c>
      <c r="B365" s="341" t="s">
        <v>563</v>
      </c>
      <c r="C365" s="342"/>
      <c r="D365" s="348"/>
      <c r="E365" s="344"/>
      <c r="F365" s="344"/>
    </row>
    <row r="366" spans="1:7" s="368" customFormat="1" ht="15">
      <c r="A366" s="346" t="s">
        <v>136</v>
      </c>
      <c r="B366" s="347" t="s">
        <v>564</v>
      </c>
      <c r="C366" s="342"/>
      <c r="D366" s="348"/>
      <c r="E366" s="344"/>
      <c r="F366" s="344"/>
      <c r="G366" s="324"/>
    </row>
    <row r="367" spans="1:7" ht="30">
      <c r="A367" s="346" t="s">
        <v>565</v>
      </c>
      <c r="B367" s="407" t="s">
        <v>624</v>
      </c>
      <c r="C367" s="342" t="s">
        <v>503</v>
      </c>
      <c r="D367" s="348">
        <v>1</v>
      </c>
      <c r="E367" s="344"/>
      <c r="F367" s="344">
        <f>D367*E367</f>
        <v>0</v>
      </c>
    </row>
    <row r="368" spans="1:7" s="368" customFormat="1" ht="15">
      <c r="A368" s="346" t="s">
        <v>608</v>
      </c>
      <c r="B368" s="347" t="s">
        <v>609</v>
      </c>
      <c r="C368" s="342" t="s">
        <v>9</v>
      </c>
      <c r="D368" s="348">
        <v>0</v>
      </c>
      <c r="E368" s="344"/>
      <c r="F368" s="344">
        <f>D368*E368</f>
        <v>0</v>
      </c>
      <c r="G368" s="324"/>
    </row>
    <row r="369" spans="1:7" s="368" customFormat="1" ht="15">
      <c r="A369" s="346" t="s">
        <v>610</v>
      </c>
      <c r="B369" s="347" t="s">
        <v>611</v>
      </c>
      <c r="C369" s="342" t="s">
        <v>9</v>
      </c>
      <c r="D369" s="348">
        <v>0</v>
      </c>
      <c r="E369" s="344"/>
      <c r="F369" s="344">
        <f>D369*E369</f>
        <v>0</v>
      </c>
      <c r="G369" s="324"/>
    </row>
    <row r="370" spans="1:7" s="368" customFormat="1" ht="15.6" thickBot="1">
      <c r="A370" s="346" t="s">
        <v>612</v>
      </c>
      <c r="B370" s="347" t="s">
        <v>613</v>
      </c>
      <c r="C370" s="342" t="s">
        <v>9</v>
      </c>
      <c r="D370" s="348">
        <v>0</v>
      </c>
      <c r="E370" s="344"/>
      <c r="F370" s="344">
        <f>D370*E370</f>
        <v>0</v>
      </c>
      <c r="G370" s="324"/>
    </row>
    <row r="371" spans="1:7" ht="16.2" thickBot="1">
      <c r="A371" s="350"/>
      <c r="B371" s="395" t="s">
        <v>566</v>
      </c>
      <c r="C371" s="389"/>
      <c r="D371" s="390"/>
      <c r="E371" s="391"/>
      <c r="F371" s="353">
        <f>SUM(F367:F370)</f>
        <v>0</v>
      </c>
    </row>
    <row r="372" spans="1:7" ht="15.6">
      <c r="A372" s="354">
        <v>11</v>
      </c>
      <c r="B372" s="341" t="s">
        <v>567</v>
      </c>
      <c r="C372" s="362"/>
      <c r="D372" s="357"/>
      <c r="E372" s="358"/>
      <c r="F372" s="344"/>
    </row>
    <row r="373" spans="1:7" s="368" customFormat="1" ht="15.6">
      <c r="A373" s="346" t="s">
        <v>568</v>
      </c>
      <c r="B373" s="406" t="s">
        <v>137</v>
      </c>
      <c r="C373" s="408"/>
      <c r="D373" s="405"/>
      <c r="E373" s="408"/>
      <c r="F373" s="344"/>
      <c r="G373" s="324"/>
    </row>
    <row r="374" spans="1:7" s="368" customFormat="1" ht="15">
      <c r="A374" s="346" t="s">
        <v>569</v>
      </c>
      <c r="B374" s="407" t="s">
        <v>59</v>
      </c>
      <c r="C374" s="342" t="s">
        <v>4</v>
      </c>
      <c r="D374" s="348">
        <f>((16.45+8)*2*3.5)</f>
        <v>171.15</v>
      </c>
      <c r="E374" s="344"/>
      <c r="F374" s="344">
        <f>D374*E374</f>
        <v>0</v>
      </c>
      <c r="G374" s="324"/>
    </row>
    <row r="375" spans="1:7" s="368" customFormat="1" ht="22.05" customHeight="1">
      <c r="A375" s="346" t="s">
        <v>570</v>
      </c>
      <c r="B375" s="407" t="s">
        <v>138</v>
      </c>
      <c r="C375" s="342" t="s">
        <v>4</v>
      </c>
      <c r="D375" s="348">
        <f>1.5*16.455*2+8*2*1.5*2</f>
        <v>97.364999999999995</v>
      </c>
      <c r="E375" s="344"/>
      <c r="F375" s="344">
        <f>D375*E375</f>
        <v>0</v>
      </c>
      <c r="G375" s="324"/>
    </row>
    <row r="376" spans="1:7" ht="15.6">
      <c r="A376" s="346" t="s">
        <v>571</v>
      </c>
      <c r="B376" s="406" t="s">
        <v>139</v>
      </c>
      <c r="C376" s="342"/>
      <c r="D376" s="348"/>
      <c r="E376" s="344"/>
      <c r="F376" s="344"/>
    </row>
    <row r="377" spans="1:7" ht="15">
      <c r="A377" s="346" t="s">
        <v>572</v>
      </c>
      <c r="B377" s="407" t="s">
        <v>60</v>
      </c>
      <c r="C377" s="342" t="s">
        <v>4</v>
      </c>
      <c r="D377" s="348">
        <f>(16.45*2+6*8)*3+3.3*3*2</f>
        <v>262.5</v>
      </c>
      <c r="E377" s="344"/>
      <c r="F377" s="344">
        <f>D377*E377</f>
        <v>0</v>
      </c>
    </row>
    <row r="378" spans="1:7" ht="15">
      <c r="A378" s="346" t="s">
        <v>573</v>
      </c>
      <c r="B378" s="407" t="s">
        <v>574</v>
      </c>
      <c r="C378" s="342" t="s">
        <v>4</v>
      </c>
      <c r="D378" s="348">
        <f>D348</f>
        <v>148.04999999999998</v>
      </c>
      <c r="E378" s="344"/>
      <c r="F378" s="344">
        <f>D378*E378</f>
        <v>0</v>
      </c>
    </row>
    <row r="379" spans="1:7" ht="15">
      <c r="A379" s="346"/>
      <c r="B379" s="407"/>
      <c r="C379" s="342"/>
      <c r="D379" s="348"/>
      <c r="E379" s="344"/>
      <c r="F379" s="344"/>
    </row>
    <row r="380" spans="1:7" ht="15.6" hidden="1">
      <c r="A380" s="346" t="s">
        <v>575</v>
      </c>
      <c r="B380" s="406" t="s">
        <v>576</v>
      </c>
      <c r="C380" s="342"/>
      <c r="D380" s="342"/>
      <c r="E380" s="344"/>
      <c r="F380" s="344"/>
    </row>
    <row r="381" spans="1:7" ht="30" hidden="1">
      <c r="A381" s="346" t="s">
        <v>577</v>
      </c>
      <c r="B381" s="407" t="s">
        <v>578</v>
      </c>
      <c r="C381" s="342" t="s">
        <v>4</v>
      </c>
      <c r="D381" s="342">
        <v>0</v>
      </c>
      <c r="E381" s="344"/>
      <c r="F381" s="344">
        <f>D381*E381</f>
        <v>0</v>
      </c>
    </row>
    <row r="382" spans="1:7" ht="15" hidden="1">
      <c r="A382" s="346"/>
      <c r="B382" s="407"/>
      <c r="C382" s="342"/>
      <c r="D382" s="348"/>
      <c r="E382" s="344"/>
      <c r="F382" s="344"/>
    </row>
    <row r="383" spans="1:7" ht="15.6">
      <c r="A383" s="347" t="s">
        <v>579</v>
      </c>
      <c r="B383" s="406" t="s">
        <v>140</v>
      </c>
      <c r="C383" s="342"/>
      <c r="D383" s="348"/>
      <c r="E383" s="374"/>
      <c r="F383" s="344"/>
    </row>
    <row r="384" spans="1:7" ht="30.6">
      <c r="A384" s="347" t="s">
        <v>580</v>
      </c>
      <c r="B384" s="407" t="s">
        <v>141</v>
      </c>
      <c r="C384" s="342" t="s">
        <v>4</v>
      </c>
      <c r="D384" s="348">
        <f>2*1.4*2.2*2</f>
        <v>12.32</v>
      </c>
      <c r="E384" s="344"/>
      <c r="F384" s="344">
        <f>D384*E384</f>
        <v>0</v>
      </c>
    </row>
    <row r="385" spans="1:7" ht="15.6">
      <c r="A385" s="347" t="s">
        <v>581</v>
      </c>
      <c r="B385" s="406" t="s">
        <v>582</v>
      </c>
      <c r="C385" s="342"/>
      <c r="D385" s="348"/>
      <c r="E385" s="344"/>
      <c r="F385" s="344"/>
    </row>
    <row r="386" spans="1:7" ht="15">
      <c r="A386" s="347" t="s">
        <v>583</v>
      </c>
      <c r="B386" s="407" t="s">
        <v>614</v>
      </c>
      <c r="C386" s="342" t="s">
        <v>4</v>
      </c>
      <c r="D386" s="348">
        <f>2*6*1.4+4*3*1.4*4</f>
        <v>83.999999999999986</v>
      </c>
      <c r="E386" s="344"/>
      <c r="F386" s="344">
        <f>D386*E386</f>
        <v>0</v>
      </c>
    </row>
    <row r="387" spans="1:7" ht="15.6" thickBot="1">
      <c r="A387" s="347" t="s">
        <v>583</v>
      </c>
      <c r="B387" s="407" t="s">
        <v>142</v>
      </c>
      <c r="C387" s="342" t="s">
        <v>4</v>
      </c>
      <c r="D387" s="348">
        <f>D386</f>
        <v>83.999999999999986</v>
      </c>
      <c r="E387" s="344"/>
      <c r="F387" s="344">
        <f>D387*E387</f>
        <v>0</v>
      </c>
    </row>
    <row r="388" spans="1:7" ht="16.2" thickBot="1">
      <c r="A388" s="350"/>
      <c r="B388" s="395" t="s">
        <v>585</v>
      </c>
      <c r="C388" s="389"/>
      <c r="D388" s="336"/>
      <c r="E388" s="335"/>
      <c r="F388" s="409">
        <f>SUM(F374:F387)</f>
        <v>0</v>
      </c>
    </row>
    <row r="389" spans="1:7" ht="15">
      <c r="A389" s="366"/>
      <c r="B389" s="366"/>
      <c r="F389" s="414"/>
    </row>
    <row r="390" spans="1:7" ht="22.5" customHeight="1">
      <c r="A390" s="366"/>
      <c r="B390" s="416" t="s">
        <v>663</v>
      </c>
      <c r="C390" s="327"/>
      <c r="D390" s="410"/>
      <c r="E390" s="327"/>
      <c r="F390" s="417">
        <f>F203+F307+F318+F327+F331+F342+F349+F363+F371+F388</f>
        <v>0</v>
      </c>
    </row>
    <row r="391" spans="1:7" s="326" customFormat="1" ht="15">
      <c r="A391" s="324"/>
      <c r="B391" s="366"/>
      <c r="D391" s="325"/>
      <c r="G391" s="324"/>
    </row>
    <row r="392" spans="1:7" ht="22.5" customHeight="1">
      <c r="A392" s="366"/>
      <c r="B392" s="416" t="s">
        <v>347</v>
      </c>
      <c r="C392" s="418">
        <v>0.15</v>
      </c>
      <c r="D392" s="410"/>
      <c r="E392" s="327"/>
      <c r="F392" s="417">
        <f>(F390+F195)*C392</f>
        <v>0</v>
      </c>
    </row>
    <row r="393" spans="1:7" s="326" customFormat="1" ht="15">
      <c r="A393" s="324"/>
      <c r="B393" s="366"/>
      <c r="D393" s="325"/>
      <c r="G393" s="324"/>
    </row>
    <row r="394" spans="1:7" ht="22.5" customHeight="1">
      <c r="A394" s="366"/>
      <c r="B394" s="416" t="s">
        <v>662</v>
      </c>
      <c r="C394" s="327"/>
      <c r="D394" s="410"/>
      <c r="E394" s="327"/>
      <c r="F394" s="417">
        <f>(F195+F390)+F392</f>
        <v>0</v>
      </c>
    </row>
  </sheetData>
  <mergeCells count="3">
    <mergeCell ref="A3:F3"/>
    <mergeCell ref="B5:E5"/>
    <mergeCell ref="B197:E197"/>
  </mergeCells>
  <pageMargins left="0.7" right="0.7" top="0.75" bottom="0.75" header="0.3" footer="0.3"/>
  <pageSetup paperSize="9" scale="48" orientation="portrait" r:id="rId1"/>
  <rowBreaks count="4" manualBreakCount="4">
    <brk id="60" max="5" man="1"/>
    <brk id="157" max="16383" man="1"/>
    <brk id="245" max="5" man="1"/>
    <brk id="36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topLeftCell="A62" zoomScale="80" zoomScaleSheetLayoutView="80" workbookViewId="0">
      <selection activeCell="B75" sqref="B75"/>
    </sheetView>
  </sheetViews>
  <sheetFormatPr baseColWidth="10" defaultColWidth="11.44140625" defaultRowHeight="15"/>
  <cols>
    <col min="1" max="1" width="10" style="232" customWidth="1"/>
    <col min="2" max="2" width="61.21875" style="232" bestFit="1" customWidth="1"/>
    <col min="3" max="3" width="9.21875" style="2" customWidth="1"/>
    <col min="4" max="4" width="10.5546875" style="3" customWidth="1"/>
    <col min="5" max="5" width="11.77734375" style="3" customWidth="1"/>
    <col min="6" max="6" width="18.77734375" style="233" customWidth="1"/>
    <col min="7" max="16384" width="11.44140625" style="2"/>
  </cols>
  <sheetData>
    <row r="1" spans="1:6" ht="29.55" customHeight="1"/>
    <row r="2" spans="1:6" ht="27.6" customHeight="1"/>
    <row r="3" spans="1:6" ht="22.95" customHeight="1">
      <c r="A3" s="1"/>
      <c r="B3" s="1"/>
      <c r="F3" s="234"/>
    </row>
    <row r="4" spans="1:6" s="4" customFormat="1" ht="13.8" thickBot="1">
      <c r="B4" s="523"/>
      <c r="C4" s="523"/>
      <c r="D4" s="5"/>
      <c r="E4" s="229"/>
      <c r="F4" s="235"/>
    </row>
    <row r="5" spans="1:6" s="4" customFormat="1" ht="22.95" customHeight="1" thickBot="1">
      <c r="A5" s="524" t="s">
        <v>354</v>
      </c>
      <c r="B5" s="525"/>
      <c r="C5" s="525"/>
      <c r="D5" s="525"/>
      <c r="E5" s="525"/>
      <c r="F5" s="526"/>
    </row>
    <row r="6" spans="1:6" s="4" customFormat="1" ht="13.2" customHeight="1" thickBot="1">
      <c r="B6" s="7"/>
      <c r="C6" s="7"/>
      <c r="D6" s="8"/>
      <c r="E6" s="9"/>
      <c r="F6" s="236"/>
    </row>
    <row r="7" spans="1:6" s="10" customFormat="1" ht="33" customHeight="1" thickBot="1">
      <c r="A7" s="263" t="s">
        <v>357</v>
      </c>
      <c r="B7" s="264" t="s">
        <v>70</v>
      </c>
      <c r="C7" s="265" t="s">
        <v>75</v>
      </c>
      <c r="D7" s="266" t="s">
        <v>76</v>
      </c>
      <c r="E7" s="267" t="s">
        <v>77</v>
      </c>
      <c r="F7" s="268" t="s">
        <v>78</v>
      </c>
    </row>
    <row r="8" spans="1:6" s="10" customFormat="1" ht="14.55" customHeight="1">
      <c r="A8" s="66"/>
      <c r="B8" s="65"/>
      <c r="C8" s="6"/>
      <c r="D8" s="64"/>
      <c r="E8" s="198"/>
      <c r="F8" s="237"/>
    </row>
    <row r="9" spans="1:6" s="4" customFormat="1" ht="15.6">
      <c r="A9" s="67" t="s">
        <v>147</v>
      </c>
      <c r="B9" s="68" t="s">
        <v>146</v>
      </c>
      <c r="C9" s="69"/>
      <c r="D9" s="70"/>
      <c r="E9" s="199"/>
      <c r="F9" s="239"/>
    </row>
    <row r="10" spans="1:6" s="4" customFormat="1" ht="13.95" customHeight="1">
      <c r="A10" s="98"/>
      <c r="B10" s="99"/>
      <c r="C10" s="32"/>
      <c r="D10" s="33"/>
      <c r="E10" s="200"/>
      <c r="F10" s="240"/>
    </row>
    <row r="11" spans="1:6" s="4" customFormat="1" ht="16.2" customHeight="1">
      <c r="A11" s="100" t="s">
        <v>68</v>
      </c>
      <c r="B11" s="101" t="s">
        <v>380</v>
      </c>
      <c r="C11" s="32" t="s">
        <v>176</v>
      </c>
      <c r="D11" s="33">
        <v>1</v>
      </c>
      <c r="E11" s="200"/>
      <c r="F11" s="241">
        <f t="shared" ref="F11:F12" si="0">D11*E11</f>
        <v>0</v>
      </c>
    </row>
    <row r="12" spans="1:6" s="4" customFormat="1" ht="15.6" customHeight="1">
      <c r="A12" s="15" t="s">
        <v>5</v>
      </c>
      <c r="B12" s="16" t="s">
        <v>175</v>
      </c>
      <c r="C12" s="12" t="s">
        <v>176</v>
      </c>
      <c r="D12" s="17">
        <v>1</v>
      </c>
      <c r="E12" s="201"/>
      <c r="F12" s="241">
        <f t="shared" si="0"/>
        <v>0</v>
      </c>
    </row>
    <row r="13" spans="1:6" s="4" customFormat="1" ht="17.5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41">
        <f>D13*E13</f>
        <v>0</v>
      </c>
    </row>
    <row r="14" spans="1:6" s="4" customFormat="1" ht="16.2" thickBot="1">
      <c r="A14" s="52"/>
      <c r="B14" s="53" t="s">
        <v>155</v>
      </c>
      <c r="C14" s="54"/>
      <c r="D14" s="55"/>
      <c r="E14" s="202"/>
      <c r="F14" s="242">
        <f>SUM(F11:F13)</f>
        <v>0</v>
      </c>
    </row>
    <row r="15" spans="1:6" s="4" customFormat="1" ht="15.6">
      <c r="B15" s="71"/>
      <c r="C15" s="22"/>
      <c r="D15" s="23"/>
      <c r="E15" s="203"/>
      <c r="F15" s="241"/>
    </row>
    <row r="16" spans="1:6" s="4" customFormat="1" ht="15.6">
      <c r="A16" s="67" t="s">
        <v>14</v>
      </c>
      <c r="B16" s="72" t="s">
        <v>148</v>
      </c>
      <c r="C16" s="73"/>
      <c r="D16" s="74"/>
      <c r="E16" s="204"/>
      <c r="F16" s="239"/>
    </row>
    <row r="17" spans="1:6" s="4" customFormat="1" ht="15.6">
      <c r="A17" s="14"/>
      <c r="B17" s="21"/>
      <c r="C17" s="22"/>
      <c r="D17" s="23"/>
      <c r="E17" s="205"/>
      <c r="F17" s="241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1"/>
    </row>
    <row r="19" spans="1:6" s="4" customFormat="1">
      <c r="A19" s="15" t="s">
        <v>293</v>
      </c>
      <c r="B19" s="16" t="s">
        <v>349</v>
      </c>
      <c r="C19" s="12" t="s">
        <v>7</v>
      </c>
      <c r="D19" s="50">
        <v>134.51</v>
      </c>
      <c r="E19" s="201"/>
      <c r="F19" s="241"/>
    </row>
    <row r="20" spans="1:6" s="4" customFormat="1">
      <c r="A20" s="15" t="s">
        <v>294</v>
      </c>
      <c r="B20" s="16" t="s">
        <v>341</v>
      </c>
      <c r="C20" s="12" t="s">
        <v>10</v>
      </c>
      <c r="D20" s="50">
        <f>D19*0.85*0.6</f>
        <v>68.600099999999983</v>
      </c>
      <c r="E20" s="201"/>
      <c r="F20" s="241">
        <f>D20*E20</f>
        <v>0</v>
      </c>
    </row>
    <row r="21" spans="1:6" s="4" customFormat="1" ht="17.55" customHeight="1">
      <c r="A21" s="15" t="s">
        <v>296</v>
      </c>
      <c r="B21" s="16" t="s">
        <v>83</v>
      </c>
      <c r="C21" s="12" t="s">
        <v>10</v>
      </c>
      <c r="D21" s="50">
        <f>D19*0.65*0.45</f>
        <v>39.344175</v>
      </c>
      <c r="E21" s="201"/>
      <c r="F21" s="241">
        <f t="shared" ref="F21:F22" si="1">D21*E21</f>
        <v>0</v>
      </c>
    </row>
    <row r="22" spans="1:6" s="4" customFormat="1" ht="17.55" customHeight="1" thickBot="1">
      <c r="A22" s="15" t="s">
        <v>298</v>
      </c>
      <c r="B22" s="16" t="s">
        <v>85</v>
      </c>
      <c r="C22" s="12" t="s">
        <v>10</v>
      </c>
      <c r="D22" s="50">
        <f>30.27*9.88*0.5</f>
        <v>149.53380000000001</v>
      </c>
      <c r="E22" s="201"/>
      <c r="F22" s="241">
        <f t="shared" si="1"/>
        <v>0</v>
      </c>
    </row>
    <row r="23" spans="1:6" s="4" customFormat="1" ht="17.55" customHeight="1" thickBot="1">
      <c r="A23" s="18"/>
      <c r="B23" s="286" t="s">
        <v>156</v>
      </c>
      <c r="C23" s="19"/>
      <c r="D23" s="20"/>
      <c r="E23" s="208"/>
      <c r="F23" s="287">
        <f>SUM(F20:F22)</f>
        <v>0</v>
      </c>
    </row>
    <row r="24" spans="1:6" s="4" customFormat="1" ht="17.55" customHeight="1">
      <c r="A24" s="24" t="s">
        <v>315</v>
      </c>
      <c r="B24" s="84" t="s">
        <v>173</v>
      </c>
      <c r="C24" s="25"/>
      <c r="D24" s="13"/>
      <c r="E24" s="207"/>
      <c r="F24" s="241"/>
    </row>
    <row r="25" spans="1:6" s="4" customFormat="1" ht="17.55" customHeight="1">
      <c r="A25" s="28" t="s">
        <v>17</v>
      </c>
      <c r="B25" s="27" t="s">
        <v>172</v>
      </c>
      <c r="C25" s="12"/>
      <c r="D25" s="17"/>
      <c r="E25" s="201"/>
      <c r="F25" s="241"/>
    </row>
    <row r="26" spans="1:6" s="4" customFormat="1" ht="17.55" customHeight="1">
      <c r="A26" s="28" t="s">
        <v>86</v>
      </c>
      <c r="B26" s="29" t="s">
        <v>87</v>
      </c>
      <c r="C26" s="12" t="s">
        <v>10</v>
      </c>
      <c r="D26" s="17">
        <f>D19*0.6*0.05</f>
        <v>4.0352999999999994</v>
      </c>
      <c r="E26" s="201"/>
      <c r="F26" s="241">
        <f>D26*E26</f>
        <v>0</v>
      </c>
    </row>
    <row r="27" spans="1:6" s="4" customFormat="1" ht="17.55" customHeight="1">
      <c r="A27" s="28" t="s">
        <v>88</v>
      </c>
      <c r="B27" s="29" t="s">
        <v>178</v>
      </c>
      <c r="C27" s="12" t="s">
        <v>10</v>
      </c>
      <c r="D27" s="17">
        <f>D19*0.6*0.15</f>
        <v>12.105899999999998</v>
      </c>
      <c r="E27" s="201"/>
      <c r="F27" s="241">
        <f t="shared" ref="F27:F57" si="2">D27*E27</f>
        <v>0</v>
      </c>
    </row>
    <row r="28" spans="1:6" s="4" customFormat="1" ht="17.55" customHeight="1">
      <c r="A28" s="28" t="s">
        <v>89</v>
      </c>
      <c r="B28" s="29" t="s">
        <v>370</v>
      </c>
      <c r="C28" s="12" t="s">
        <v>10</v>
      </c>
      <c r="D28" s="17">
        <f>29*0.15*0.15*0.66+9*0.15*0.2*0.66</f>
        <v>0.60885</v>
      </c>
      <c r="E28" s="201"/>
      <c r="F28" s="241">
        <f t="shared" si="2"/>
        <v>0</v>
      </c>
    </row>
    <row r="29" spans="1:6" s="4" customFormat="1" ht="17.55" customHeight="1">
      <c r="A29" s="28" t="s">
        <v>90</v>
      </c>
      <c r="B29" s="29" t="s">
        <v>371</v>
      </c>
      <c r="C29" s="12" t="s">
        <v>10</v>
      </c>
      <c r="D29" s="17">
        <f>134.51*0.2*0.15</f>
        <v>4.0353000000000003</v>
      </c>
      <c r="E29" s="201"/>
      <c r="F29" s="241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134.51*1.05</f>
        <v>141.2355</v>
      </c>
      <c r="E30" s="201"/>
      <c r="F30" s="241">
        <f t="shared" si="2"/>
        <v>0</v>
      </c>
    </row>
    <row r="31" spans="1:6" s="4" customFormat="1">
      <c r="A31" s="28" t="s">
        <v>92</v>
      </c>
      <c r="B31" s="29" t="s">
        <v>342</v>
      </c>
      <c r="C31" s="32" t="s">
        <v>10</v>
      </c>
      <c r="D31" s="33">
        <f>30.27*9.88*0.1</f>
        <v>29.906760000000006</v>
      </c>
      <c r="E31" s="200"/>
      <c r="F31" s="241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30.27*9.88</f>
        <v>299.06760000000003</v>
      </c>
      <c r="E32" s="201"/>
      <c r="F32" s="241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41"/>
    </row>
    <row r="34" spans="1:6" s="4" customFormat="1" ht="45">
      <c r="A34" s="28"/>
      <c r="B34" s="34" t="s">
        <v>355</v>
      </c>
      <c r="C34" s="12" t="s">
        <v>4</v>
      </c>
      <c r="D34" s="17">
        <f>30.27*0.44*4*2</f>
        <v>106.5504</v>
      </c>
      <c r="E34" s="201"/>
      <c r="F34" s="241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30.27*0.4*0.4*2</f>
        <v>9.6864000000000008</v>
      </c>
      <c r="E35" s="201"/>
      <c r="F35" s="241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30.27*0.4*0.1*2</f>
        <v>2.4216000000000002</v>
      </c>
      <c r="E36" s="201"/>
      <c r="F36" s="241">
        <f t="shared" si="2"/>
        <v>0</v>
      </c>
    </row>
    <row r="37" spans="1:6" s="4" customFormat="1" ht="15.6">
      <c r="A37" s="28" t="s">
        <v>24</v>
      </c>
      <c r="B37" s="83" t="s">
        <v>149</v>
      </c>
      <c r="C37" s="22"/>
      <c r="D37" s="17"/>
      <c r="E37" s="205"/>
      <c r="F37" s="241"/>
    </row>
    <row r="38" spans="1:6" s="4" customFormat="1">
      <c r="A38" s="28" t="s">
        <v>26</v>
      </c>
      <c r="B38" s="29" t="s">
        <v>343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201"/>
      <c r="F38" s="241">
        <f t="shared" si="2"/>
        <v>0</v>
      </c>
    </row>
    <row r="39" spans="1:6" s="4" customFormat="1">
      <c r="A39" s="28" t="s">
        <v>381</v>
      </c>
      <c r="B39" s="29" t="s">
        <v>98</v>
      </c>
      <c r="C39" s="12" t="s">
        <v>10</v>
      </c>
      <c r="D39" s="17">
        <f>29*0.15*0.15*3.5+9*0.2*0.15*3.5</f>
        <v>3.2287499999999998</v>
      </c>
      <c r="E39" s="201"/>
      <c r="F39" s="241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D29+(1*0.15*0.2+1.46*0.2*0.15)*3</f>
        <v>4.2567000000000004</v>
      </c>
      <c r="E40" s="201"/>
      <c r="F40" s="241">
        <f t="shared" si="2"/>
        <v>0</v>
      </c>
    </row>
    <row r="41" spans="1:6" s="4" customFormat="1">
      <c r="A41" s="28" t="s">
        <v>382</v>
      </c>
      <c r="B41" s="29" t="s">
        <v>102</v>
      </c>
      <c r="C41" s="12" t="s">
        <v>10</v>
      </c>
      <c r="D41" s="17">
        <f>5*10*0.2*0.1</f>
        <v>1</v>
      </c>
      <c r="E41" s="201"/>
      <c r="F41" s="241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1"/>
    </row>
    <row r="43" spans="1:6" s="4" customFormat="1">
      <c r="A43" s="28"/>
      <c r="B43" s="29" t="s">
        <v>177</v>
      </c>
      <c r="C43" s="12" t="s">
        <v>4</v>
      </c>
      <c r="D43" s="17">
        <f>(30.35*2+9.88+7.23)*3-D46-(4*0.9*2.2+31.14*2.2)+2*(12*1.6/2)</f>
        <v>120.042</v>
      </c>
      <c r="E43" s="201"/>
      <c r="F43" s="241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(30.35*2+9.38*2+7.23*7)*3-D43-5*1*2.2+3*1.46*2.2+(2*(12*1.6/2))</f>
        <v>288.00400000000002</v>
      </c>
      <c r="E44" s="201"/>
      <c r="F44" s="241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41"/>
    </row>
    <row r="46" spans="1:6" s="4" customFormat="1" ht="30.6">
      <c r="A46" s="28" t="s">
        <v>29</v>
      </c>
      <c r="B46" s="51" t="s">
        <v>143</v>
      </c>
      <c r="C46" s="12" t="s">
        <v>104</v>
      </c>
      <c r="D46" s="17">
        <f>3*(3*1.8*1.8+2*2.5*1.8)</f>
        <v>56.16</v>
      </c>
      <c r="E46" s="201"/>
      <c r="F46" s="241">
        <f t="shared" si="2"/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241"/>
    </row>
    <row r="48" spans="1:6" s="4" customFormat="1" ht="30">
      <c r="A48" s="307" t="s">
        <v>30</v>
      </c>
      <c r="B48" s="51" t="s">
        <v>398</v>
      </c>
      <c r="C48" s="12" t="s">
        <v>9</v>
      </c>
      <c r="D48" s="17">
        <v>4</v>
      </c>
      <c r="E48" s="201"/>
      <c r="F48" s="241">
        <f t="shared" ref="F48" si="3">D48*E48</f>
        <v>0</v>
      </c>
    </row>
    <row r="49" spans="1:6" s="4" customFormat="1" ht="34.5" customHeight="1">
      <c r="A49" s="307" t="s">
        <v>31</v>
      </c>
      <c r="B49" s="51" t="s">
        <v>399</v>
      </c>
      <c r="C49" s="12" t="s">
        <v>9</v>
      </c>
      <c r="D49" s="17">
        <v>3</v>
      </c>
      <c r="E49" s="201"/>
      <c r="F49" s="241">
        <f t="shared" si="2"/>
        <v>0</v>
      </c>
    </row>
    <row r="50" spans="1:6" s="4" customFormat="1" ht="20.25" customHeight="1">
      <c r="A50" s="28" t="s">
        <v>108</v>
      </c>
      <c r="B50" s="29" t="s">
        <v>152</v>
      </c>
      <c r="C50" s="12" t="s">
        <v>9</v>
      </c>
      <c r="D50" s="17">
        <v>4</v>
      </c>
      <c r="E50" s="201"/>
      <c r="F50" s="241">
        <f t="shared" si="2"/>
        <v>0</v>
      </c>
    </row>
    <row r="51" spans="1:6" s="4" customFormat="1" ht="15.6">
      <c r="A51" s="28" t="s">
        <v>108</v>
      </c>
      <c r="B51" s="27" t="s">
        <v>36</v>
      </c>
      <c r="C51" s="12"/>
      <c r="D51" s="17"/>
      <c r="E51" s="201"/>
      <c r="F51" s="241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41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41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41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41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1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1">
        <f t="shared" si="2"/>
        <v>0</v>
      </c>
    </row>
    <row r="58" spans="1:6" s="4" customFormat="1" ht="15.6">
      <c r="A58" s="28" t="s">
        <v>112</v>
      </c>
      <c r="B58" s="27" t="s">
        <v>114</v>
      </c>
      <c r="C58" s="12"/>
      <c r="D58" s="17"/>
      <c r="E58" s="201"/>
      <c r="F58" s="241"/>
    </row>
    <row r="59" spans="1:6" s="4" customFormat="1">
      <c r="A59" s="28" t="s">
        <v>383</v>
      </c>
      <c r="B59" s="85" t="s">
        <v>285</v>
      </c>
      <c r="C59" s="12" t="s">
        <v>9</v>
      </c>
      <c r="D59" s="17">
        <v>4</v>
      </c>
      <c r="E59" s="201"/>
      <c r="F59" s="241">
        <f t="shared" ref="F59:F60" si="4">D59*E59</f>
        <v>0</v>
      </c>
    </row>
    <row r="60" spans="1:6" s="4" customFormat="1" ht="15.6" thickBot="1">
      <c r="A60" s="28" t="s">
        <v>113</v>
      </c>
      <c r="B60" s="85" t="s">
        <v>400</v>
      </c>
      <c r="C60" s="12" t="s">
        <v>9</v>
      </c>
      <c r="D60" s="17">
        <v>3</v>
      </c>
      <c r="E60" s="201"/>
      <c r="F60" s="241">
        <f t="shared" si="4"/>
        <v>0</v>
      </c>
    </row>
    <row r="61" spans="1:6" s="4" customFormat="1" ht="17.55" customHeight="1" thickBot="1">
      <c r="A61" s="18"/>
      <c r="B61" s="91" t="s">
        <v>115</v>
      </c>
      <c r="C61" s="19"/>
      <c r="D61" s="20"/>
      <c r="E61" s="208"/>
      <c r="F61" s="243">
        <f>SUM(F26:F60)</f>
        <v>0</v>
      </c>
    </row>
    <row r="62" spans="1:6" s="4" customFormat="1" ht="16.2" thickBot="1">
      <c r="A62" s="52"/>
      <c r="B62" s="53" t="s">
        <v>153</v>
      </c>
      <c r="C62" s="54"/>
      <c r="D62" s="55"/>
      <c r="E62" s="206"/>
      <c r="F62" s="242">
        <f>F23+F61</f>
        <v>0</v>
      </c>
    </row>
    <row r="63" spans="1:6" s="40" customFormat="1" ht="15.6">
      <c r="A63" s="37"/>
      <c r="B63" s="38"/>
      <c r="C63" s="39"/>
      <c r="D63" s="33"/>
      <c r="E63" s="200"/>
      <c r="F63" s="240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244"/>
    </row>
    <row r="65" spans="1:6" s="40" customFormat="1" ht="15.6">
      <c r="A65" s="86"/>
      <c r="B65" s="245"/>
      <c r="C65" s="32"/>
      <c r="D65" s="33"/>
      <c r="E65" s="200"/>
      <c r="F65" s="240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41"/>
    </row>
    <row r="67" spans="1:6" s="4" customFormat="1">
      <c r="A67" s="15" t="s">
        <v>118</v>
      </c>
      <c r="B67" s="16" t="s">
        <v>120</v>
      </c>
      <c r="C67" s="12" t="s">
        <v>10</v>
      </c>
      <c r="D67" s="17">
        <f>(31.27*10.88)/100</f>
        <v>3.4021759999999999</v>
      </c>
      <c r="E67" s="210"/>
      <c r="F67" s="241">
        <f t="shared" ref="F67:F68" si="5">D67*E67</f>
        <v>0</v>
      </c>
    </row>
    <row r="68" spans="1:6" s="4" customFormat="1" ht="15.6" thickBot="1">
      <c r="A68" s="15" t="s">
        <v>119</v>
      </c>
      <c r="B68" s="16" t="s">
        <v>122</v>
      </c>
      <c r="C68" s="12" t="s">
        <v>9</v>
      </c>
      <c r="D68" s="17">
        <v>20</v>
      </c>
      <c r="E68" s="201"/>
      <c r="F68" s="241">
        <f t="shared" si="5"/>
        <v>0</v>
      </c>
    </row>
    <row r="69" spans="1:6" s="4" customFormat="1" ht="16.2" thickBot="1">
      <c r="A69" s="56"/>
      <c r="B69" s="53" t="s">
        <v>154</v>
      </c>
      <c r="C69" s="57"/>
      <c r="D69" s="58"/>
      <c r="E69" s="211"/>
      <c r="F69" s="242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241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244"/>
    </row>
    <row r="72" spans="1:6" s="4" customFormat="1" ht="15.6">
      <c r="A72" s="26"/>
      <c r="B72" s="42"/>
      <c r="C72" s="12"/>
      <c r="D72" s="17"/>
      <c r="E72" s="201"/>
      <c r="F72" s="241"/>
    </row>
    <row r="73" spans="1:6" s="4" customFormat="1" ht="15.6">
      <c r="A73" s="28" t="s">
        <v>123</v>
      </c>
      <c r="B73" s="42" t="s">
        <v>161</v>
      </c>
      <c r="C73" s="12"/>
      <c r="D73" s="17"/>
      <c r="E73" s="201"/>
      <c r="F73" s="241"/>
    </row>
    <row r="74" spans="1:6" s="4" customFormat="1">
      <c r="A74" s="28" t="s">
        <v>124</v>
      </c>
      <c r="B74" s="29" t="s">
        <v>674</v>
      </c>
      <c r="C74" s="12" t="s">
        <v>4</v>
      </c>
      <c r="D74" s="17">
        <f>31.87*12</f>
        <v>382.44</v>
      </c>
      <c r="E74" s="201"/>
      <c r="F74" s="241">
        <f>D74*E74</f>
        <v>0</v>
      </c>
    </row>
    <row r="75" spans="1:6" s="4" customFormat="1" ht="15.6">
      <c r="A75" s="28" t="s">
        <v>125</v>
      </c>
      <c r="B75" s="42" t="s">
        <v>126</v>
      </c>
      <c r="C75" s="12"/>
      <c r="D75" s="17"/>
      <c r="E75" s="201"/>
      <c r="F75" s="241"/>
    </row>
    <row r="76" spans="1:6" s="4" customFormat="1" ht="15.6">
      <c r="A76" s="28" t="s">
        <v>127</v>
      </c>
      <c r="B76" s="29" t="s">
        <v>668</v>
      </c>
      <c r="C76" s="12" t="s">
        <v>7</v>
      </c>
      <c r="D76" s="17">
        <v>31.87</v>
      </c>
      <c r="E76" s="201"/>
      <c r="F76" s="241">
        <f t="shared" ref="F76:F78" si="6">D76*E76</f>
        <v>0</v>
      </c>
    </row>
    <row r="77" spans="1:6" s="4" customFormat="1" ht="15.6">
      <c r="A77" s="28" t="s">
        <v>128</v>
      </c>
      <c r="B77" s="42" t="s">
        <v>130</v>
      </c>
      <c r="C77" s="22"/>
      <c r="D77" s="17"/>
      <c r="E77" s="205"/>
      <c r="F77" s="241"/>
    </row>
    <row r="78" spans="1:6" s="4" customFormat="1" ht="15.6" thickBot="1">
      <c r="A78" s="35" t="s">
        <v>129</v>
      </c>
      <c r="B78" s="29" t="s">
        <v>344</v>
      </c>
      <c r="C78" s="36" t="s">
        <v>4</v>
      </c>
      <c r="D78" s="17">
        <f>(31.87*2+24)*0.4</f>
        <v>35.096000000000004</v>
      </c>
      <c r="E78" s="212"/>
      <c r="F78" s="241">
        <f t="shared" si="6"/>
        <v>0</v>
      </c>
    </row>
    <row r="79" spans="1:6" s="4" customFormat="1" ht="16.2" thickBot="1">
      <c r="A79" s="56"/>
      <c r="B79" s="53" t="s">
        <v>157</v>
      </c>
      <c r="C79" s="54"/>
      <c r="D79" s="55"/>
      <c r="E79" s="206"/>
      <c r="F79" s="242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241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244"/>
    </row>
    <row r="82" spans="1:6" s="4" customFormat="1" ht="15.6">
      <c r="A82" s="14"/>
      <c r="B82" s="43"/>
      <c r="C82" s="12"/>
      <c r="D82" s="17"/>
      <c r="E82" s="201"/>
      <c r="F82" s="241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241"/>
    </row>
    <row r="84" spans="1:6" s="4" customFormat="1" ht="15.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41">
        <f>D84*E84</f>
        <v>0</v>
      </c>
    </row>
    <row r="85" spans="1:6" s="4" customFormat="1" ht="16.2" thickBot="1">
      <c r="A85" s="81"/>
      <c r="B85" s="82" t="s">
        <v>158</v>
      </c>
      <c r="C85" s="79"/>
      <c r="D85" s="78"/>
      <c r="E85" s="213"/>
      <c r="F85" s="246">
        <f>F84</f>
        <v>0</v>
      </c>
    </row>
    <row r="86" spans="1:6" s="4" customFormat="1" ht="15.6">
      <c r="A86" s="41"/>
      <c r="B86" s="42"/>
      <c r="C86" s="45"/>
      <c r="D86" s="46"/>
      <c r="E86" s="207"/>
      <c r="F86" s="241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244"/>
    </row>
    <row r="88" spans="1:6" s="4" customFormat="1" ht="15.6">
      <c r="A88" s="14"/>
      <c r="B88" s="47"/>
      <c r="C88" s="22"/>
      <c r="D88" s="23"/>
      <c r="E88" s="205"/>
      <c r="F88" s="241"/>
    </row>
    <row r="89" spans="1:6" s="4" customFormat="1" ht="15.6">
      <c r="A89" s="15" t="s">
        <v>325</v>
      </c>
      <c r="B89" s="47" t="s">
        <v>134</v>
      </c>
      <c r="C89" s="12"/>
      <c r="D89" s="17"/>
      <c r="E89" s="201"/>
      <c r="F89" s="241"/>
    </row>
    <row r="90" spans="1:6" s="4" customFormat="1">
      <c r="A90" s="15" t="s">
        <v>326</v>
      </c>
      <c r="B90" s="16" t="s">
        <v>345</v>
      </c>
      <c r="C90" s="12" t="s">
        <v>9</v>
      </c>
      <c r="D90" s="17">
        <v>3</v>
      </c>
      <c r="E90" s="201"/>
      <c r="F90" s="241">
        <f>D90*E90</f>
        <v>0</v>
      </c>
    </row>
    <row r="91" spans="1:6" s="4" customFormat="1">
      <c r="A91" s="15" t="s">
        <v>384</v>
      </c>
      <c r="B91" s="16" t="s">
        <v>358</v>
      </c>
      <c r="C91" s="12" t="s">
        <v>9</v>
      </c>
      <c r="D91" s="17">
        <v>5</v>
      </c>
      <c r="E91" s="201"/>
      <c r="F91" s="241">
        <f>D91*E91</f>
        <v>0</v>
      </c>
    </row>
    <row r="92" spans="1:6" s="4" customFormat="1" ht="15.6">
      <c r="A92" s="15" t="s">
        <v>385</v>
      </c>
      <c r="B92" s="47" t="s">
        <v>135</v>
      </c>
      <c r="C92" s="12"/>
      <c r="D92" s="17"/>
      <c r="E92" s="201"/>
      <c r="F92" s="241"/>
    </row>
    <row r="93" spans="1:6" s="4" customFormat="1">
      <c r="A93" s="15" t="s">
        <v>386</v>
      </c>
      <c r="B93" s="16" t="s">
        <v>359</v>
      </c>
      <c r="C93" s="12" t="s">
        <v>9</v>
      </c>
      <c r="D93" s="17">
        <v>4</v>
      </c>
      <c r="E93" s="201"/>
      <c r="F93" s="241">
        <f t="shared" ref="F93" si="7">D93*E93</f>
        <v>0</v>
      </c>
    </row>
    <row r="94" spans="1:6" s="4" customFormat="1" ht="15.6">
      <c r="A94" s="15" t="s">
        <v>387</v>
      </c>
      <c r="B94" s="47" t="s">
        <v>407</v>
      </c>
      <c r="C94" s="12"/>
      <c r="D94" s="17"/>
      <c r="E94" s="201"/>
      <c r="F94" s="241"/>
    </row>
    <row r="95" spans="1:6" s="4" customFormat="1" ht="15.6" thickBot="1">
      <c r="A95" s="15" t="s">
        <v>388</v>
      </c>
      <c r="B95" s="16" t="s">
        <v>406</v>
      </c>
      <c r="C95" s="12" t="s">
        <v>9</v>
      </c>
      <c r="D95" s="17">
        <v>2</v>
      </c>
      <c r="E95" s="201"/>
      <c r="F95" s="241">
        <f t="shared" ref="F95" si="8">D95*E95</f>
        <v>0</v>
      </c>
    </row>
    <row r="96" spans="1:6" s="4" customFormat="1" ht="16.2" thickBot="1">
      <c r="A96" s="81"/>
      <c r="B96" s="76" t="s">
        <v>159</v>
      </c>
      <c r="C96" s="77"/>
      <c r="D96" s="80"/>
      <c r="E96" s="215"/>
      <c r="F96" s="246">
        <f>SUM(F90:F95)</f>
        <v>0</v>
      </c>
    </row>
    <row r="97" spans="1:6" s="4" customFormat="1" ht="15.6">
      <c r="A97" s="41"/>
      <c r="B97" s="42"/>
      <c r="C97" s="45"/>
      <c r="D97" s="46"/>
      <c r="E97" s="207"/>
      <c r="F97" s="241"/>
    </row>
    <row r="98" spans="1:6" s="4" customFormat="1" ht="15.6">
      <c r="A98" s="93" t="s">
        <v>72</v>
      </c>
      <c r="B98" s="94" t="s">
        <v>404</v>
      </c>
      <c r="C98" s="95"/>
      <c r="D98" s="96"/>
      <c r="E98" s="214"/>
      <c r="F98" s="244"/>
    </row>
    <row r="99" spans="1:6" s="4" customFormat="1" ht="15.6">
      <c r="A99" s="14"/>
      <c r="B99" s="47"/>
      <c r="C99" s="22"/>
      <c r="D99" s="23"/>
      <c r="E99" s="205"/>
      <c r="F99" s="241"/>
    </row>
    <row r="100" spans="1:6" s="4" customFormat="1" ht="15.6">
      <c r="A100" s="15" t="s">
        <v>132</v>
      </c>
      <c r="B100" s="47" t="s">
        <v>408</v>
      </c>
      <c r="C100" s="12"/>
      <c r="D100" s="17"/>
      <c r="E100" s="201"/>
      <c r="F100" s="241"/>
    </row>
    <row r="101" spans="1:6" s="322" customFormat="1">
      <c r="A101" s="316" t="s">
        <v>163</v>
      </c>
      <c r="B101" s="48" t="s">
        <v>409</v>
      </c>
      <c r="C101" s="318" t="s">
        <v>9</v>
      </c>
      <c r="D101" s="319">
        <v>2</v>
      </c>
      <c r="E101" s="320"/>
      <c r="F101" s="321">
        <f>D101*E101</f>
        <v>0</v>
      </c>
    </row>
    <row r="102" spans="1:6" s="322" customFormat="1">
      <c r="A102" s="316" t="s">
        <v>163</v>
      </c>
      <c r="B102" s="323" t="s">
        <v>410</v>
      </c>
      <c r="C102" s="318" t="s">
        <v>7</v>
      </c>
      <c r="D102" s="319">
        <f>1.1*8</f>
        <v>8.8000000000000007</v>
      </c>
      <c r="E102" s="320"/>
      <c r="F102" s="321">
        <f>D102*E102</f>
        <v>0</v>
      </c>
    </row>
    <row r="103" spans="1:6" s="322" customFormat="1" ht="15.6">
      <c r="A103" s="316" t="s">
        <v>133</v>
      </c>
      <c r="B103" s="317" t="s">
        <v>411</v>
      </c>
      <c r="C103" s="318"/>
      <c r="D103" s="319"/>
      <c r="E103" s="320"/>
      <c r="F103" s="321"/>
    </row>
    <row r="104" spans="1:6" s="322" customFormat="1" ht="15.6" thickBot="1">
      <c r="A104" s="316" t="s">
        <v>164</v>
      </c>
      <c r="B104" s="323" t="s">
        <v>412</v>
      </c>
      <c r="C104" s="318" t="s">
        <v>4</v>
      </c>
      <c r="D104" s="319">
        <f>1.5*1.1*2</f>
        <v>3.3000000000000003</v>
      </c>
      <c r="E104" s="320"/>
      <c r="F104" s="321">
        <f>D104*E104</f>
        <v>0</v>
      </c>
    </row>
    <row r="105" spans="1:6" s="4" customFormat="1" ht="16.2" thickBot="1">
      <c r="A105" s="81"/>
      <c r="B105" s="76" t="s">
        <v>405</v>
      </c>
      <c r="C105" s="77"/>
      <c r="D105" s="80"/>
      <c r="E105" s="215"/>
      <c r="F105" s="246">
        <f>SUM(F101:F104)</f>
        <v>0</v>
      </c>
    </row>
    <row r="106" spans="1:6" s="4" customFormat="1" ht="15.6">
      <c r="A106" s="14"/>
      <c r="B106" s="11"/>
      <c r="C106" s="12"/>
      <c r="D106" s="17"/>
      <c r="E106" s="201"/>
      <c r="F106" s="241"/>
    </row>
    <row r="107" spans="1:6" s="4" customFormat="1" ht="15.6">
      <c r="A107" s="93" t="s">
        <v>72</v>
      </c>
      <c r="B107" s="97" t="s">
        <v>11</v>
      </c>
      <c r="C107" s="88"/>
      <c r="D107" s="96"/>
      <c r="E107" s="214"/>
      <c r="F107" s="244"/>
    </row>
    <row r="108" spans="1:6" s="4" customFormat="1" ht="15.6">
      <c r="A108" s="14"/>
      <c r="B108" s="11"/>
      <c r="C108" s="12"/>
      <c r="D108" s="23"/>
      <c r="E108" s="205"/>
      <c r="F108" s="241"/>
    </row>
    <row r="109" spans="1:6" s="30" customFormat="1" ht="15.6">
      <c r="A109" s="15" t="s">
        <v>132</v>
      </c>
      <c r="B109" s="47" t="s">
        <v>137</v>
      </c>
      <c r="C109" s="49"/>
      <c r="D109" s="46"/>
      <c r="E109" s="216"/>
      <c r="F109" s="241"/>
    </row>
    <row r="110" spans="1:6" s="30" customFormat="1">
      <c r="A110" s="15" t="s">
        <v>163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1">
        <f>D110*E110</f>
        <v>0</v>
      </c>
    </row>
    <row r="111" spans="1:6" s="30" customFormat="1" ht="30.6">
      <c r="A111" s="308" t="s">
        <v>389</v>
      </c>
      <c r="B111" s="48" t="s">
        <v>138</v>
      </c>
      <c r="C111" s="12" t="s">
        <v>4</v>
      </c>
      <c r="D111" s="17">
        <f>(30.27*2+9.88+7.23)*1.5</f>
        <v>116.47500000000001</v>
      </c>
      <c r="E111" s="201"/>
      <c r="F111" s="241">
        <f t="shared" ref="F111:F118" si="9">D111*E111</f>
        <v>0</v>
      </c>
    </row>
    <row r="112" spans="1:6" s="4" customFormat="1" ht="15.6">
      <c r="A112" s="15" t="s">
        <v>133</v>
      </c>
      <c r="B112" s="47" t="s">
        <v>139</v>
      </c>
      <c r="C112" s="12"/>
      <c r="D112" s="17"/>
      <c r="E112" s="201"/>
      <c r="F112" s="241"/>
    </row>
    <row r="113" spans="1:6" s="4" customFormat="1">
      <c r="A113" s="15" t="s">
        <v>164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1">
        <f t="shared" si="9"/>
        <v>0</v>
      </c>
    </row>
    <row r="114" spans="1:6" s="4" customFormat="1" ht="15.6">
      <c r="A114" s="15" t="s">
        <v>392</v>
      </c>
      <c r="B114" s="47" t="s">
        <v>140</v>
      </c>
      <c r="C114" s="12"/>
      <c r="D114" s="17"/>
      <c r="E114" s="205"/>
      <c r="F114" s="241"/>
    </row>
    <row r="115" spans="1:6" s="4" customFormat="1" ht="28.5" customHeight="1">
      <c r="A115" s="309" t="s">
        <v>393</v>
      </c>
      <c r="B115" s="48" t="s">
        <v>141</v>
      </c>
      <c r="C115" s="12" t="s">
        <v>4</v>
      </c>
      <c r="D115" s="17">
        <f>2*(3*1.46*2.2+5*1*2.2)</f>
        <v>41.272000000000006</v>
      </c>
      <c r="E115" s="201"/>
      <c r="F115" s="241">
        <f t="shared" si="9"/>
        <v>0</v>
      </c>
    </row>
    <row r="116" spans="1:6" s="4" customFormat="1" ht="15.6">
      <c r="A116" s="16" t="s">
        <v>390</v>
      </c>
      <c r="B116" s="47" t="s">
        <v>346</v>
      </c>
      <c r="C116" s="12"/>
      <c r="D116" s="17"/>
      <c r="E116" s="201"/>
      <c r="F116" s="241"/>
    </row>
    <row r="117" spans="1:6" s="4" customFormat="1">
      <c r="A117" s="16" t="s">
        <v>394</v>
      </c>
      <c r="B117" s="48" t="s">
        <v>401</v>
      </c>
      <c r="C117" s="12" t="s">
        <v>4</v>
      </c>
      <c r="D117" s="17">
        <f>6*1.4*3+4*3*1.4</f>
        <v>41.999999999999993</v>
      </c>
      <c r="E117" s="201"/>
      <c r="F117" s="241">
        <f t="shared" ref="F117" si="10">D117*E117</f>
        <v>0</v>
      </c>
    </row>
    <row r="118" spans="1:6" s="4" customFormat="1" ht="15.6" thickBot="1">
      <c r="A118" s="16" t="s">
        <v>395</v>
      </c>
      <c r="B118" s="48" t="s">
        <v>142</v>
      </c>
      <c r="C118" s="12" t="s">
        <v>4</v>
      </c>
      <c r="D118" s="17">
        <f>6*1.4*3+4*3*1.4</f>
        <v>41.999999999999993</v>
      </c>
      <c r="E118" s="201"/>
      <c r="F118" s="241">
        <f t="shared" si="9"/>
        <v>0</v>
      </c>
    </row>
    <row r="119" spans="1:6" s="4" customFormat="1" ht="16.2" thickBot="1">
      <c r="A119" s="75"/>
      <c r="B119" s="76" t="s">
        <v>160</v>
      </c>
      <c r="C119" s="77"/>
      <c r="D119" s="78"/>
      <c r="E119" s="79"/>
      <c r="F119" s="246">
        <f>SUM(F109:F118)</f>
        <v>0</v>
      </c>
    </row>
    <row r="120" spans="1:6" s="40" customFormat="1" ht="16.2" thickBot="1">
      <c r="A120" s="189"/>
      <c r="B120" s="190"/>
      <c r="C120" s="191"/>
      <c r="D120" s="192"/>
      <c r="E120" s="193"/>
      <c r="F120" s="247"/>
    </row>
    <row r="121" spans="1:6" s="4" customFormat="1" ht="16.2" thickBot="1">
      <c r="A121" s="59"/>
      <c r="B121" s="60" t="s">
        <v>286</v>
      </c>
      <c r="C121" s="61"/>
      <c r="D121" s="62"/>
      <c r="E121" s="63"/>
      <c r="F121" s="248">
        <f>F14+F62+F69+F79+F85+F96+F105+F119</f>
        <v>0</v>
      </c>
    </row>
    <row r="122" spans="1:6" s="40" customFormat="1" ht="16.2" thickBot="1">
      <c r="A122" s="189"/>
      <c r="B122" s="190"/>
      <c r="C122" s="191"/>
      <c r="D122" s="192"/>
      <c r="E122" s="193"/>
      <c r="F122" s="247"/>
    </row>
    <row r="123" spans="1:6" s="4" customFormat="1" ht="18" thickBot="1">
      <c r="A123" s="59"/>
      <c r="B123" s="419" t="s">
        <v>347</v>
      </c>
      <c r="C123" s="61"/>
      <c r="D123" s="194">
        <v>0.1</v>
      </c>
      <c r="E123" s="63"/>
      <c r="F123" s="249">
        <f>F121*D123</f>
        <v>0</v>
      </c>
    </row>
    <row r="124" spans="1:6" s="40" customFormat="1" ht="16.2" thickBot="1">
      <c r="A124" s="31"/>
      <c r="B124" s="245"/>
      <c r="C124" s="250"/>
      <c r="D124" s="251"/>
      <c r="E124" s="252"/>
      <c r="F124" s="253"/>
    </row>
    <row r="125" spans="1:6" s="4" customFormat="1" ht="16.2" thickBot="1">
      <c r="A125" s="59"/>
      <c r="B125" s="60" t="s">
        <v>348</v>
      </c>
      <c r="C125" s="61"/>
      <c r="D125" s="62"/>
      <c r="E125" s="63"/>
      <c r="F125" s="249">
        <f>F121+F123</f>
        <v>0</v>
      </c>
    </row>
    <row r="126" spans="1:6" s="40" customFormat="1" ht="15.6">
      <c r="A126" s="31"/>
      <c r="B126" s="245"/>
      <c r="C126" s="250"/>
      <c r="D126" s="251"/>
      <c r="E126" s="252"/>
      <c r="F126" s="253"/>
    </row>
  </sheetData>
  <sheetProtection selectLockedCells="1"/>
  <mergeCells count="2">
    <mergeCell ref="B4:C4"/>
    <mergeCell ref="A5:F5"/>
  </mergeCells>
  <phoneticPr fontId="36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3E77-CE56-4520-996B-ADC037FF7080}">
  <dimension ref="A1:G115"/>
  <sheetViews>
    <sheetView showGridLines="0" view="pageBreakPreview" topLeftCell="A58" zoomScale="90" zoomScaleSheetLayoutView="90" workbookViewId="0">
      <selection activeCell="B75" sqref="B75"/>
    </sheetView>
  </sheetViews>
  <sheetFormatPr baseColWidth="10" defaultColWidth="11.44140625" defaultRowHeight="15"/>
  <cols>
    <col min="1" max="1" width="10" style="232" customWidth="1"/>
    <col min="2" max="2" width="61.21875" style="232" bestFit="1" customWidth="1"/>
    <col min="3" max="3" width="8.21875" style="2" customWidth="1"/>
    <col min="4" max="4" width="10.5546875" style="3" customWidth="1"/>
    <col min="5" max="5" width="12.5546875" style="3" customWidth="1"/>
    <col min="6" max="6" width="14.77734375" style="3" customWidth="1"/>
    <col min="7" max="16384" width="11.44140625" style="2"/>
  </cols>
  <sheetData>
    <row r="1" spans="1:7" ht="29.55" customHeight="1"/>
    <row r="2" spans="1:7" ht="27.6" customHeight="1"/>
    <row r="3" spans="1:7" ht="22.95" customHeight="1">
      <c r="A3" s="1"/>
      <c r="B3" s="1"/>
    </row>
    <row r="4" spans="1:7" s="4" customFormat="1" ht="13.8" thickBot="1">
      <c r="B4" s="523"/>
      <c r="C4" s="523"/>
      <c r="D4" s="5"/>
      <c r="E4" s="229"/>
      <c r="F4" s="229"/>
    </row>
    <row r="5" spans="1:7" s="4" customFormat="1" ht="22.95" customHeight="1" thickBot="1">
      <c r="A5" s="524" t="s">
        <v>360</v>
      </c>
      <c r="B5" s="525"/>
      <c r="C5" s="525"/>
      <c r="D5" s="525"/>
      <c r="E5" s="525"/>
      <c r="F5" s="526"/>
    </row>
    <row r="6" spans="1:7" s="4" customFormat="1" ht="13.2" customHeight="1" thickBot="1">
      <c r="B6" s="7"/>
      <c r="C6" s="7"/>
      <c r="D6" s="8"/>
      <c r="E6" s="9"/>
      <c r="F6" s="9"/>
    </row>
    <row r="7" spans="1:7" s="315" customFormat="1" ht="33" customHeight="1" thickBot="1">
      <c r="A7" s="269" t="s">
        <v>361</v>
      </c>
      <c r="B7" s="310" t="s">
        <v>70</v>
      </c>
      <c r="C7" s="311" t="s">
        <v>75</v>
      </c>
      <c r="D7" s="312" t="s">
        <v>76</v>
      </c>
      <c r="E7" s="313" t="s">
        <v>77</v>
      </c>
      <c r="F7" s="311" t="s">
        <v>78</v>
      </c>
      <c r="G7" s="314"/>
    </row>
    <row r="8" spans="1:7" s="10" customFormat="1" ht="14.55" customHeight="1">
      <c r="A8" s="66"/>
      <c r="B8" s="65"/>
      <c r="C8" s="6"/>
      <c r="D8" s="64"/>
      <c r="E8" s="198"/>
      <c r="F8" s="6"/>
      <c r="G8" s="238"/>
    </row>
    <row r="9" spans="1:7" s="4" customFormat="1" ht="15.6">
      <c r="A9" s="67" t="s">
        <v>147</v>
      </c>
      <c r="B9" s="68" t="s">
        <v>146</v>
      </c>
      <c r="C9" s="69"/>
      <c r="D9" s="70"/>
      <c r="E9" s="199"/>
      <c r="F9" s="270"/>
    </row>
    <row r="10" spans="1:7" s="4" customFormat="1" ht="13.95" customHeight="1">
      <c r="A10" s="98"/>
      <c r="B10" s="99"/>
      <c r="C10" s="32"/>
      <c r="D10" s="33"/>
      <c r="E10" s="200"/>
      <c r="F10" s="271"/>
    </row>
    <row r="11" spans="1:7" s="4" customFormat="1" ht="16.2" customHeight="1">
      <c r="A11" s="100" t="s">
        <v>68</v>
      </c>
      <c r="B11" s="101" t="s">
        <v>339</v>
      </c>
      <c r="C11" s="32" t="s">
        <v>176</v>
      </c>
      <c r="D11" s="33">
        <v>0</v>
      </c>
      <c r="E11" s="200"/>
      <c r="F11" s="272">
        <f t="shared" ref="F11:F12" si="0">D11*E11</f>
        <v>0</v>
      </c>
    </row>
    <row r="12" spans="1:7" s="4" customFormat="1" ht="15.6" customHeight="1">
      <c r="A12" s="15" t="s">
        <v>5</v>
      </c>
      <c r="B12" s="16" t="s">
        <v>175</v>
      </c>
      <c r="C12" s="12" t="s">
        <v>176</v>
      </c>
      <c r="D12" s="17">
        <v>0</v>
      </c>
      <c r="E12" s="201"/>
      <c r="F12" s="272">
        <f t="shared" si="0"/>
        <v>0</v>
      </c>
    </row>
    <row r="13" spans="1:7" s="4" customFormat="1" ht="17.5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72">
        <f>D13*E13</f>
        <v>0</v>
      </c>
    </row>
    <row r="14" spans="1:7" s="4" customFormat="1" ht="16.2" thickBot="1">
      <c r="A14" s="52"/>
      <c r="B14" s="53" t="s">
        <v>155</v>
      </c>
      <c r="C14" s="54"/>
      <c r="D14" s="55"/>
      <c r="E14" s="202"/>
      <c r="F14" s="273">
        <f>SUM(F11:F13)</f>
        <v>0</v>
      </c>
    </row>
    <row r="15" spans="1:7" s="4" customFormat="1" ht="15.6">
      <c r="B15" s="71"/>
      <c r="C15" s="22"/>
      <c r="D15" s="23"/>
      <c r="E15" s="203"/>
      <c r="F15" s="272"/>
    </row>
    <row r="16" spans="1:7" s="4" customFormat="1" ht="15.6">
      <c r="A16" s="67" t="s">
        <v>14</v>
      </c>
      <c r="B16" s="72" t="s">
        <v>148</v>
      </c>
      <c r="C16" s="73"/>
      <c r="D16" s="74"/>
      <c r="E16" s="204"/>
      <c r="F16" s="270"/>
    </row>
    <row r="17" spans="1:6" s="40" customFormat="1" ht="15.6">
      <c r="A17" s="98"/>
      <c r="B17" s="274"/>
      <c r="C17" s="275"/>
      <c r="D17" s="276"/>
      <c r="E17" s="277"/>
      <c r="F17" s="271"/>
    </row>
    <row r="18" spans="1:6" s="4" customFormat="1" ht="15.6">
      <c r="A18" s="14"/>
      <c r="B18" s="16" t="s">
        <v>80</v>
      </c>
      <c r="C18" s="22"/>
      <c r="D18" s="23"/>
      <c r="E18" s="205"/>
      <c r="F18" s="272"/>
    </row>
    <row r="19" spans="1:6" s="4" customFormat="1">
      <c r="A19" s="15" t="s">
        <v>79</v>
      </c>
      <c r="B19" s="16" t="s">
        <v>349</v>
      </c>
      <c r="C19" s="12" t="s">
        <v>7</v>
      </c>
      <c r="D19" s="50">
        <f>(26.7*3+9.88*2+7.23*2)</f>
        <v>114.32</v>
      </c>
      <c r="E19" s="201"/>
      <c r="F19" s="272"/>
    </row>
    <row r="20" spans="1:6" s="4" customFormat="1">
      <c r="A20" s="15" t="s">
        <v>81</v>
      </c>
      <c r="B20" s="16" t="s">
        <v>341</v>
      </c>
      <c r="C20" s="12" t="s">
        <v>10</v>
      </c>
      <c r="D20" s="50">
        <f>(26.7*3+9.88*2+7.23*2)*0.85*0.6</f>
        <v>58.303199999999997</v>
      </c>
      <c r="E20" s="201"/>
      <c r="F20" s="272">
        <f>D20*E20</f>
        <v>0</v>
      </c>
    </row>
    <row r="21" spans="1:6" s="4" customFormat="1" ht="17.55" customHeight="1">
      <c r="A21" s="15" t="s">
        <v>82</v>
      </c>
      <c r="B21" s="16" t="s">
        <v>83</v>
      </c>
      <c r="C21" s="12" t="s">
        <v>10</v>
      </c>
      <c r="D21" s="50">
        <f>(26.7*3+9.88*2+7.23*2)*0.65*0.45</f>
        <v>33.438600000000001</v>
      </c>
      <c r="E21" s="201"/>
      <c r="F21" s="272">
        <f t="shared" ref="F21:F22" si="1">D21*E21</f>
        <v>0</v>
      </c>
    </row>
    <row r="22" spans="1:6" s="4" customFormat="1" ht="17.55" customHeight="1" thickBot="1">
      <c r="A22" s="15" t="s">
        <v>84</v>
      </c>
      <c r="B22" s="16" t="s">
        <v>85</v>
      </c>
      <c r="C22" s="12" t="s">
        <v>10</v>
      </c>
      <c r="D22" s="50">
        <f>26.27*9.88*0.88</f>
        <v>228.40188799999999</v>
      </c>
      <c r="E22" s="201"/>
      <c r="F22" s="272">
        <f t="shared" si="1"/>
        <v>0</v>
      </c>
    </row>
    <row r="23" spans="1:6" s="4" customFormat="1" ht="17.55" customHeight="1" thickBot="1">
      <c r="A23" s="18"/>
      <c r="B23" s="286" t="s">
        <v>156</v>
      </c>
      <c r="C23" s="19"/>
      <c r="D23" s="20"/>
      <c r="E23" s="208"/>
      <c r="F23" s="278">
        <f>SUM(F20:F22)</f>
        <v>0</v>
      </c>
    </row>
    <row r="24" spans="1:6" s="4" customFormat="1" ht="17.55" customHeight="1">
      <c r="A24" s="24" t="s">
        <v>16</v>
      </c>
      <c r="B24" s="84" t="s">
        <v>173</v>
      </c>
      <c r="C24" s="25"/>
      <c r="D24" s="13"/>
      <c r="E24" s="207"/>
      <c r="F24" s="272"/>
    </row>
    <row r="25" spans="1:6" s="4" customFormat="1" ht="17.55" customHeight="1">
      <c r="A25" s="28" t="s">
        <v>17</v>
      </c>
      <c r="B25" s="27" t="s">
        <v>172</v>
      </c>
      <c r="C25" s="12"/>
      <c r="D25" s="17"/>
      <c r="E25" s="201"/>
      <c r="F25" s="272"/>
    </row>
    <row r="26" spans="1:6" s="4" customFormat="1" ht="17.55" customHeight="1">
      <c r="A26" s="28" t="s">
        <v>86</v>
      </c>
      <c r="B26" s="29" t="s">
        <v>87</v>
      </c>
      <c r="C26" s="12" t="s">
        <v>10</v>
      </c>
      <c r="D26" s="17">
        <f>D19*0.6*0.05</f>
        <v>3.4296000000000002</v>
      </c>
      <c r="E26" s="201"/>
      <c r="F26" s="272">
        <f>D26*E26</f>
        <v>0</v>
      </c>
    </row>
    <row r="27" spans="1:6" s="4" customFormat="1" ht="17.55" customHeight="1">
      <c r="A27" s="28" t="s">
        <v>88</v>
      </c>
      <c r="B27" s="29" t="s">
        <v>178</v>
      </c>
      <c r="C27" s="12" t="s">
        <v>10</v>
      </c>
      <c r="D27" s="17">
        <f>D19*0.6*0.1</f>
        <v>6.8592000000000004</v>
      </c>
      <c r="E27" s="201"/>
      <c r="F27" s="272">
        <f t="shared" ref="F27:F57" si="2">D27*E27</f>
        <v>0</v>
      </c>
    </row>
    <row r="28" spans="1:6" s="4" customFormat="1" ht="17.55" customHeight="1">
      <c r="A28" s="28" t="s">
        <v>89</v>
      </c>
      <c r="B28" s="29" t="s">
        <v>370</v>
      </c>
      <c r="C28" s="12" t="s">
        <v>10</v>
      </c>
      <c r="D28" s="17">
        <f>16*0.15*0.15*1+30*0.15*0.2*1+10*0.2*0.2*1</f>
        <v>1.6600000000000001</v>
      </c>
      <c r="E28" s="201"/>
      <c r="F28" s="272">
        <f t="shared" si="2"/>
        <v>0</v>
      </c>
    </row>
    <row r="29" spans="1:6" s="4" customFormat="1" ht="17.55" customHeight="1">
      <c r="A29" s="28" t="s">
        <v>90</v>
      </c>
      <c r="B29" s="29" t="s">
        <v>371</v>
      </c>
      <c r="C29" s="12" t="s">
        <v>10</v>
      </c>
      <c r="D29" s="17">
        <f>D19*0.2*0.15</f>
        <v>3.4296000000000002</v>
      </c>
      <c r="E29" s="201"/>
      <c r="F29" s="272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D19*1.05</f>
        <v>120.036</v>
      </c>
      <c r="E30" s="201"/>
      <c r="F30" s="272">
        <f t="shared" si="2"/>
        <v>0</v>
      </c>
    </row>
    <row r="31" spans="1:6" s="4" customFormat="1">
      <c r="A31" s="28" t="s">
        <v>92</v>
      </c>
      <c r="B31" s="29" t="s">
        <v>362</v>
      </c>
      <c r="C31" s="32" t="s">
        <v>10</v>
      </c>
      <c r="D31" s="33">
        <f>26.47*9.88*0.1</f>
        <v>26.152360000000002</v>
      </c>
      <c r="E31" s="200"/>
      <c r="F31" s="272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26.47*9.88</f>
        <v>261.52359999999999</v>
      </c>
      <c r="E32" s="201"/>
      <c r="F32" s="272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72"/>
    </row>
    <row r="34" spans="1:6" s="4" customFormat="1" ht="45">
      <c r="A34" s="28"/>
      <c r="B34" s="34" t="s">
        <v>355</v>
      </c>
      <c r="C34" s="12" t="s">
        <v>4</v>
      </c>
      <c r="D34" s="17">
        <f>26.7*0.44*4*2</f>
        <v>93.983999999999995</v>
      </c>
      <c r="E34" s="201"/>
      <c r="F34" s="272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26.7*0.4*0.4*2</f>
        <v>8.5440000000000005</v>
      </c>
      <c r="E35" s="201"/>
      <c r="F35" s="272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26.7*0.4*0.1*2</f>
        <v>2.1360000000000001</v>
      </c>
      <c r="E36" s="201"/>
      <c r="F36" s="272">
        <f t="shared" si="2"/>
        <v>0</v>
      </c>
    </row>
    <row r="37" spans="1:6" s="4" customFormat="1" ht="15.6">
      <c r="A37" s="28" t="s">
        <v>24</v>
      </c>
      <c r="B37" s="83" t="s">
        <v>149</v>
      </c>
      <c r="C37" s="22"/>
      <c r="D37" s="17"/>
      <c r="E37" s="205"/>
      <c r="F37" s="272"/>
    </row>
    <row r="38" spans="1:6" s="4" customFormat="1">
      <c r="A38" s="28" t="s">
        <v>26</v>
      </c>
      <c r="B38" s="29" t="s">
        <v>363</v>
      </c>
      <c r="C38" s="12" t="s">
        <v>4</v>
      </c>
      <c r="D38" s="17">
        <f>3*(26.7*2+7.23*4)-3*(3*1.8*1.8+2.8*1.8+1.25*1.8+3*0.9*2.2+1.4*2.2)+4*(12*1.62/2)</f>
        <v>207.74999999999997</v>
      </c>
      <c r="E38" s="201"/>
      <c r="F38" s="272">
        <f t="shared" si="2"/>
        <v>0</v>
      </c>
    </row>
    <row r="39" spans="1:6" s="4" customFormat="1">
      <c r="A39" s="28" t="s">
        <v>381</v>
      </c>
      <c r="B39" s="29" t="s">
        <v>98</v>
      </c>
      <c r="C39" s="12" t="s">
        <v>10</v>
      </c>
      <c r="D39" s="17">
        <f>16*0.15*0.15*3.5+30*0.2*0.15*3.5+3.5*0.2*0.2</f>
        <v>4.5499999999999989</v>
      </c>
      <c r="E39" s="201"/>
      <c r="F39" s="272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D29+(1*0.2*0.15+1.46*0.2*0.15)*3</f>
        <v>3.6510000000000002</v>
      </c>
      <c r="E40" s="201"/>
      <c r="F40" s="272">
        <f t="shared" si="2"/>
        <v>0</v>
      </c>
    </row>
    <row r="41" spans="1:6" s="4" customFormat="1">
      <c r="A41" s="28" t="s">
        <v>382</v>
      </c>
      <c r="B41" s="29" t="s">
        <v>102</v>
      </c>
      <c r="C41" s="12" t="s">
        <v>10</v>
      </c>
      <c r="D41" s="17">
        <f>4*12*0.2*0.1</f>
        <v>0.96000000000000019</v>
      </c>
      <c r="E41" s="201"/>
      <c r="F41" s="272">
        <f t="shared" si="2"/>
        <v>0</v>
      </c>
    </row>
    <row r="42" spans="1:6" s="4" customFormat="1">
      <c r="A42" s="28" t="s">
        <v>101</v>
      </c>
      <c r="B42" s="29" t="s">
        <v>33</v>
      </c>
      <c r="C42" s="12"/>
      <c r="D42" s="17"/>
      <c r="E42" s="201"/>
      <c r="F42" s="272"/>
    </row>
    <row r="43" spans="1:6" s="4" customFormat="1">
      <c r="A43" s="28"/>
      <c r="B43" s="29" t="s">
        <v>177</v>
      </c>
      <c r="C43" s="12" t="s">
        <v>4</v>
      </c>
      <c r="D43" s="17">
        <f>(26.7*2+7.23*2)*3+9.72*2-D46-4*0.9*2.2+3*1.4+6*(12*1.6/2)</f>
        <v>225.87</v>
      </c>
      <c r="E43" s="201"/>
      <c r="F43" s="272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3*(26.7*2+7.23*6+3.5)-D43-4*1*2.2+3*1.4*2.2+6*(12*1.6/2)</f>
        <v>133.01000000000005</v>
      </c>
      <c r="E44" s="201"/>
      <c r="F44" s="272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72"/>
    </row>
    <row r="46" spans="1:6" s="4" customFormat="1" ht="30.6">
      <c r="A46" s="28" t="s">
        <v>29</v>
      </c>
      <c r="B46" s="51" t="s">
        <v>143</v>
      </c>
      <c r="C46" s="12" t="s">
        <v>104</v>
      </c>
      <c r="D46" s="17">
        <f>3*3*1.8*1.8+3*2.8*1.8+3*1.25*1.8</f>
        <v>51.03</v>
      </c>
      <c r="E46" s="201"/>
      <c r="F46" s="272">
        <f t="shared" si="2"/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272"/>
    </row>
    <row r="48" spans="1:6" s="4" customFormat="1" ht="32.25" customHeight="1">
      <c r="A48" s="28" t="s">
        <v>30</v>
      </c>
      <c r="B48" s="51" t="s">
        <v>402</v>
      </c>
      <c r="C48" s="12" t="s">
        <v>9</v>
      </c>
      <c r="D48" s="17">
        <v>3</v>
      </c>
      <c r="E48" s="201"/>
      <c r="F48" s="272">
        <f t="shared" ref="F48" si="3">D48*E48</f>
        <v>0</v>
      </c>
    </row>
    <row r="49" spans="1:6" s="4" customFormat="1" ht="36" customHeight="1">
      <c r="A49" s="28" t="s">
        <v>30</v>
      </c>
      <c r="B49" s="51" t="s">
        <v>402</v>
      </c>
      <c r="C49" s="12" t="s">
        <v>9</v>
      </c>
      <c r="D49" s="17">
        <v>3</v>
      </c>
      <c r="E49" s="201"/>
      <c r="F49" s="272">
        <f t="shared" si="2"/>
        <v>0</v>
      </c>
    </row>
    <row r="50" spans="1:6" s="4" customFormat="1" ht="21.75" customHeight="1">
      <c r="A50" s="28" t="s">
        <v>31</v>
      </c>
      <c r="B50" s="29" t="s">
        <v>152</v>
      </c>
      <c r="C50" s="12" t="s">
        <v>9</v>
      </c>
      <c r="D50" s="17">
        <v>3</v>
      </c>
      <c r="E50" s="201"/>
      <c r="F50" s="272">
        <f t="shared" si="2"/>
        <v>0</v>
      </c>
    </row>
    <row r="51" spans="1:6" s="4" customFormat="1" ht="15.6">
      <c r="A51" s="28" t="s">
        <v>108</v>
      </c>
      <c r="B51" s="27" t="s">
        <v>36</v>
      </c>
      <c r="C51" s="12"/>
      <c r="D51" s="17"/>
      <c r="E51" s="201"/>
      <c r="F51" s="272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72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72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72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72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72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72">
        <f t="shared" si="2"/>
        <v>0</v>
      </c>
    </row>
    <row r="58" spans="1:6" s="4" customFormat="1" ht="15.6">
      <c r="A58" s="28" t="s">
        <v>112</v>
      </c>
      <c r="B58" s="27" t="s">
        <v>114</v>
      </c>
      <c r="C58" s="12"/>
      <c r="D58" s="17"/>
      <c r="E58" s="201"/>
      <c r="F58" s="272"/>
    </row>
    <row r="59" spans="1:6" s="4" customFormat="1">
      <c r="A59" s="28" t="s">
        <v>113</v>
      </c>
      <c r="B59" s="85" t="s">
        <v>400</v>
      </c>
      <c r="C59" s="12" t="s">
        <v>9</v>
      </c>
      <c r="D59" s="17">
        <v>3</v>
      </c>
      <c r="E59" s="201"/>
      <c r="F59" s="272">
        <f t="shared" ref="F59:F60" si="4">D59*E59</f>
        <v>0</v>
      </c>
    </row>
    <row r="60" spans="1:6" s="4" customFormat="1" ht="15.6" thickBot="1">
      <c r="A60" s="28" t="s">
        <v>284</v>
      </c>
      <c r="B60" s="85" t="s">
        <v>403</v>
      </c>
      <c r="C60" s="12" t="s">
        <v>9</v>
      </c>
      <c r="D60" s="17">
        <v>3</v>
      </c>
      <c r="E60" s="201"/>
      <c r="F60" s="272">
        <f t="shared" si="4"/>
        <v>0</v>
      </c>
    </row>
    <row r="61" spans="1:6" s="4" customFormat="1" ht="17.55" customHeight="1" thickBot="1">
      <c r="A61" s="18"/>
      <c r="B61" s="91" t="s">
        <v>115</v>
      </c>
      <c r="C61" s="19"/>
      <c r="D61" s="20"/>
      <c r="E61" s="208"/>
      <c r="F61" s="278">
        <f>SUM(F26:F60)</f>
        <v>0</v>
      </c>
    </row>
    <row r="62" spans="1:6" s="4" customFormat="1" ht="16.2" thickBot="1">
      <c r="A62" s="52"/>
      <c r="B62" s="53" t="s">
        <v>153</v>
      </c>
      <c r="C62" s="54"/>
      <c r="D62" s="55"/>
      <c r="E62" s="206"/>
      <c r="F62" s="273">
        <f>F23+F61</f>
        <v>0</v>
      </c>
    </row>
    <row r="63" spans="1:6" s="40" customFormat="1" ht="15.6">
      <c r="A63" s="37"/>
      <c r="B63" s="38"/>
      <c r="C63" s="39"/>
      <c r="D63" s="33"/>
      <c r="E63" s="200"/>
      <c r="F63" s="271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279"/>
    </row>
    <row r="65" spans="1:6" s="40" customFormat="1" ht="15.6">
      <c r="A65" s="86"/>
      <c r="B65" s="245"/>
      <c r="C65" s="32"/>
      <c r="D65" s="33"/>
      <c r="E65" s="200"/>
      <c r="F65" s="271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72"/>
    </row>
    <row r="67" spans="1:6" s="4" customFormat="1">
      <c r="A67" s="15" t="s">
        <v>119</v>
      </c>
      <c r="B67" s="16" t="s">
        <v>120</v>
      </c>
      <c r="C67" s="12" t="s">
        <v>10</v>
      </c>
      <c r="D67" s="17">
        <f>(27.7*9.88)/100</f>
        <v>2.7367599999999999</v>
      </c>
      <c r="E67" s="210"/>
      <c r="F67" s="272">
        <f t="shared" ref="F67:F68" si="5">D67*E67</f>
        <v>0</v>
      </c>
    </row>
    <row r="68" spans="1:6" s="4" customFormat="1" ht="15.6" thickBot="1">
      <c r="A68" s="15" t="s">
        <v>121</v>
      </c>
      <c r="B68" s="16" t="s">
        <v>122</v>
      </c>
      <c r="C68" s="12" t="s">
        <v>9</v>
      </c>
      <c r="D68" s="17">
        <v>12</v>
      </c>
      <c r="E68" s="201"/>
      <c r="F68" s="272">
        <f t="shared" si="5"/>
        <v>0</v>
      </c>
    </row>
    <row r="69" spans="1:6" s="4" customFormat="1" ht="16.2" thickBot="1">
      <c r="A69" s="56"/>
      <c r="B69" s="53" t="s">
        <v>154</v>
      </c>
      <c r="C69" s="57"/>
      <c r="D69" s="58"/>
      <c r="E69" s="211"/>
      <c r="F69" s="273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272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279"/>
    </row>
    <row r="72" spans="1:6" s="4" customFormat="1" ht="15.6">
      <c r="A72" s="26"/>
      <c r="B72" s="42"/>
      <c r="C72" s="12"/>
      <c r="D72" s="17"/>
      <c r="E72" s="201"/>
      <c r="F72" s="272"/>
    </row>
    <row r="73" spans="1:6" s="4" customFormat="1" ht="15.6">
      <c r="A73" s="28" t="s">
        <v>123</v>
      </c>
      <c r="B73" s="42" t="s">
        <v>161</v>
      </c>
      <c r="C73" s="12"/>
      <c r="D73" s="17"/>
      <c r="E73" s="201"/>
      <c r="F73" s="272"/>
    </row>
    <row r="74" spans="1:6" s="4" customFormat="1">
      <c r="A74" s="28" t="s">
        <v>124</v>
      </c>
      <c r="B74" s="29" t="s">
        <v>675</v>
      </c>
      <c r="C74" s="12" t="s">
        <v>4</v>
      </c>
      <c r="D74" s="17">
        <f>27.7*12</f>
        <v>332.4</v>
      </c>
      <c r="E74" s="201"/>
      <c r="F74" s="272">
        <f>D74*E74</f>
        <v>0</v>
      </c>
    </row>
    <row r="75" spans="1:6" s="4" customFormat="1" ht="15.6">
      <c r="A75" s="28" t="s">
        <v>125</v>
      </c>
      <c r="B75" s="42" t="s">
        <v>126</v>
      </c>
      <c r="C75" s="12"/>
      <c r="D75" s="17"/>
      <c r="E75" s="201"/>
      <c r="F75" s="272"/>
    </row>
    <row r="76" spans="1:6" s="4" customFormat="1" ht="15.6">
      <c r="A76" s="28" t="s">
        <v>127</v>
      </c>
      <c r="B76" s="29" t="s">
        <v>669</v>
      </c>
      <c r="C76" s="12" t="s">
        <v>7</v>
      </c>
      <c r="D76" s="17">
        <v>27.7</v>
      </c>
      <c r="E76" s="201"/>
      <c r="F76" s="272">
        <f t="shared" ref="F76:F78" si="6">D76*E76</f>
        <v>0</v>
      </c>
    </row>
    <row r="77" spans="1:6" s="4" customFormat="1" ht="15.6">
      <c r="A77" s="28" t="s">
        <v>128</v>
      </c>
      <c r="B77" s="42" t="s">
        <v>130</v>
      </c>
      <c r="C77" s="22"/>
      <c r="D77" s="17"/>
      <c r="E77" s="205"/>
      <c r="F77" s="272"/>
    </row>
    <row r="78" spans="1:6" s="4" customFormat="1" ht="15.6" thickBot="1">
      <c r="A78" s="35" t="s">
        <v>129</v>
      </c>
      <c r="B78" s="29" t="s">
        <v>364</v>
      </c>
      <c r="C78" s="36" t="s">
        <v>4</v>
      </c>
      <c r="D78" s="17">
        <f>(27.7*2+6*4)*0.4</f>
        <v>31.760000000000005</v>
      </c>
      <c r="E78" s="212"/>
      <c r="F78" s="272">
        <f t="shared" si="6"/>
        <v>0</v>
      </c>
    </row>
    <row r="79" spans="1:6" s="4" customFormat="1" ht="16.2" thickBot="1">
      <c r="A79" s="56"/>
      <c r="B79" s="53" t="s">
        <v>157</v>
      </c>
      <c r="C79" s="54"/>
      <c r="D79" s="55"/>
      <c r="E79" s="206"/>
      <c r="F79" s="273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272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279"/>
    </row>
    <row r="82" spans="1:6" s="4" customFormat="1" ht="15.6">
      <c r="A82" s="14"/>
      <c r="B82" s="43"/>
      <c r="C82" s="12"/>
      <c r="D82" s="17"/>
      <c r="E82" s="201"/>
      <c r="F82" s="272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272"/>
    </row>
    <row r="84" spans="1:6" s="4" customFormat="1" ht="15.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72">
        <f>D84*E84</f>
        <v>0</v>
      </c>
    </row>
    <row r="85" spans="1:6" s="4" customFormat="1" ht="16.2" thickBot="1">
      <c r="A85" s="81"/>
      <c r="B85" s="82" t="s">
        <v>158</v>
      </c>
      <c r="C85" s="79"/>
      <c r="D85" s="78"/>
      <c r="E85" s="213"/>
      <c r="F85" s="280">
        <f>F84</f>
        <v>0</v>
      </c>
    </row>
    <row r="86" spans="1:6" s="4" customFormat="1" ht="15.6">
      <c r="A86" s="41"/>
      <c r="B86" s="42"/>
      <c r="C86" s="45"/>
      <c r="D86" s="46"/>
      <c r="E86" s="207"/>
      <c r="F86" s="272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279"/>
    </row>
    <row r="88" spans="1:6" s="4" customFormat="1" ht="15.6">
      <c r="A88" s="14"/>
      <c r="B88" s="47"/>
      <c r="C88" s="22"/>
      <c r="D88" s="23"/>
      <c r="E88" s="205"/>
      <c r="F88" s="272"/>
    </row>
    <row r="89" spans="1:6" s="4" customFormat="1" ht="15.6">
      <c r="A89" s="15" t="s">
        <v>325</v>
      </c>
      <c r="B89" s="47" t="s">
        <v>134</v>
      </c>
      <c r="C89" s="12"/>
      <c r="D89" s="17"/>
      <c r="E89" s="201"/>
      <c r="F89" s="272"/>
    </row>
    <row r="90" spans="1:6" s="4" customFormat="1">
      <c r="A90" s="15" t="s">
        <v>326</v>
      </c>
      <c r="B90" s="16" t="s">
        <v>345</v>
      </c>
      <c r="C90" s="12" t="s">
        <v>9</v>
      </c>
      <c r="D90" s="17">
        <v>3</v>
      </c>
      <c r="E90" s="201"/>
      <c r="F90" s="272">
        <f>D90*E90</f>
        <v>0</v>
      </c>
    </row>
    <row r="91" spans="1:6" s="4" customFormat="1">
      <c r="A91" s="15" t="s">
        <v>326</v>
      </c>
      <c r="B91" s="16" t="s">
        <v>369</v>
      </c>
      <c r="C91" s="12" t="s">
        <v>9</v>
      </c>
      <c r="D91" s="17">
        <v>3</v>
      </c>
      <c r="E91" s="201"/>
      <c r="F91" s="272">
        <f>D91*E91</f>
        <v>0</v>
      </c>
    </row>
    <row r="92" spans="1:6" s="4" customFormat="1" ht="15.6">
      <c r="A92" s="15" t="s">
        <v>385</v>
      </c>
      <c r="B92" s="47" t="s">
        <v>135</v>
      </c>
      <c r="C92" s="12"/>
      <c r="D92" s="17"/>
      <c r="E92" s="201"/>
      <c r="F92" s="272"/>
    </row>
    <row r="93" spans="1:6" s="4" customFormat="1" ht="15.6" thickBot="1">
      <c r="A93" s="15" t="s">
        <v>386</v>
      </c>
      <c r="B93" s="16" t="s">
        <v>365</v>
      </c>
      <c r="C93" s="12" t="s">
        <v>9</v>
      </c>
      <c r="D93" s="17">
        <v>3</v>
      </c>
      <c r="E93" s="201"/>
      <c r="F93" s="272">
        <f t="shared" ref="F93" si="7">D93*E93</f>
        <v>0</v>
      </c>
    </row>
    <row r="94" spans="1:6" s="4" customFormat="1" ht="16.2" thickBot="1">
      <c r="A94" s="81"/>
      <c r="B94" s="76" t="s">
        <v>159</v>
      </c>
      <c r="C94" s="77"/>
      <c r="D94" s="80"/>
      <c r="E94" s="215"/>
      <c r="F94" s="280">
        <f>SUM(F90:F93)</f>
        <v>0</v>
      </c>
    </row>
    <row r="95" spans="1:6" s="4" customFormat="1" ht="15.6">
      <c r="A95" s="14"/>
      <c r="B95" s="11"/>
      <c r="C95" s="12"/>
      <c r="D95" s="17"/>
      <c r="E95" s="201"/>
      <c r="F95" s="272"/>
    </row>
    <row r="96" spans="1:6" s="4" customFormat="1" ht="15.6">
      <c r="A96" s="93" t="s">
        <v>72</v>
      </c>
      <c r="B96" s="97" t="s">
        <v>11</v>
      </c>
      <c r="C96" s="88"/>
      <c r="D96" s="96"/>
      <c r="E96" s="214"/>
      <c r="F96" s="279"/>
    </row>
    <row r="97" spans="1:7" s="4" customFormat="1" ht="15.6">
      <c r="A97" s="14"/>
      <c r="B97" s="11"/>
      <c r="C97" s="12"/>
      <c r="D97" s="23"/>
      <c r="E97" s="205"/>
      <c r="F97" s="272"/>
    </row>
    <row r="98" spans="1:7" s="30" customFormat="1" ht="15.6">
      <c r="A98" s="15" t="s">
        <v>132</v>
      </c>
      <c r="B98" s="47" t="s">
        <v>137</v>
      </c>
      <c r="C98" s="49"/>
      <c r="D98" s="46"/>
      <c r="E98" s="216"/>
      <c r="F98" s="272"/>
      <c r="G98" s="4"/>
    </row>
    <row r="99" spans="1:7" s="30" customFormat="1">
      <c r="A99" s="15" t="s">
        <v>163</v>
      </c>
      <c r="B99" s="48" t="s">
        <v>59</v>
      </c>
      <c r="C99" s="12" t="s">
        <v>4</v>
      </c>
      <c r="D99" s="17">
        <f>(26.7*2+7.23*2)*2</f>
        <v>135.72</v>
      </c>
      <c r="E99" s="201"/>
      <c r="F99" s="272">
        <f>D99*E99</f>
        <v>0</v>
      </c>
      <c r="G99" s="4"/>
    </row>
    <row r="100" spans="1:7" s="30" customFormat="1" ht="30.6">
      <c r="A100" s="15" t="s">
        <v>389</v>
      </c>
      <c r="B100" s="48" t="s">
        <v>138</v>
      </c>
      <c r="C100" s="12" t="s">
        <v>4</v>
      </c>
      <c r="D100" s="17">
        <f>1.5*(26.7*2+7.23*2)</f>
        <v>101.78999999999999</v>
      </c>
      <c r="E100" s="201"/>
      <c r="F100" s="272">
        <f t="shared" ref="F100:F104" si="8">D100*E100</f>
        <v>0</v>
      </c>
      <c r="G100" s="4"/>
    </row>
    <row r="101" spans="1:7" s="4" customFormat="1" ht="15.6">
      <c r="A101" s="15" t="s">
        <v>133</v>
      </c>
      <c r="B101" s="47" t="s">
        <v>139</v>
      </c>
      <c r="C101" s="12"/>
      <c r="D101" s="17"/>
      <c r="E101" s="201"/>
      <c r="F101" s="272"/>
    </row>
    <row r="102" spans="1:7" s="4" customFormat="1">
      <c r="A102" s="15" t="s">
        <v>164</v>
      </c>
      <c r="B102" s="48" t="s">
        <v>60</v>
      </c>
      <c r="C102" s="12" t="s">
        <v>4</v>
      </c>
      <c r="D102" s="17">
        <f>3.5*(26.7*2+7.23*6)</f>
        <v>338.73</v>
      </c>
      <c r="E102" s="201"/>
      <c r="F102" s="272">
        <f t="shared" si="8"/>
        <v>0</v>
      </c>
    </row>
    <row r="103" spans="1:7" s="4" customFormat="1" ht="15.6">
      <c r="A103" s="16" t="s">
        <v>390</v>
      </c>
      <c r="B103" s="47" t="s">
        <v>140</v>
      </c>
      <c r="C103" s="12"/>
      <c r="D103" s="17"/>
      <c r="E103" s="205"/>
      <c r="F103" s="272"/>
    </row>
    <row r="104" spans="1:7" s="4" customFormat="1" ht="15" customHeight="1">
      <c r="A104" s="16" t="s">
        <v>394</v>
      </c>
      <c r="B104" s="48" t="s">
        <v>141</v>
      </c>
      <c r="C104" s="12" t="s">
        <v>4</v>
      </c>
      <c r="D104" s="17">
        <f>3*1.45*2.2*2+4*2*1*2.2</f>
        <v>36.74</v>
      </c>
      <c r="E104" s="201"/>
      <c r="F104" s="272">
        <f t="shared" si="8"/>
        <v>0</v>
      </c>
    </row>
    <row r="105" spans="1:7" s="4" customFormat="1" ht="15.6">
      <c r="A105" s="16" t="s">
        <v>391</v>
      </c>
      <c r="B105" s="47" t="s">
        <v>346</v>
      </c>
      <c r="C105" s="12"/>
      <c r="D105" s="17"/>
      <c r="E105" s="201"/>
      <c r="F105" s="272"/>
    </row>
    <row r="106" spans="1:7" s="4" customFormat="1">
      <c r="A106" s="16" t="s">
        <v>396</v>
      </c>
      <c r="B106" s="48" t="s">
        <v>401</v>
      </c>
      <c r="C106" s="12" t="s">
        <v>4</v>
      </c>
      <c r="D106" s="17">
        <f>6*1.4*3+3*3*1.4</f>
        <v>37.799999999999997</v>
      </c>
      <c r="E106" s="201"/>
      <c r="F106" s="272">
        <f t="shared" ref="F106:F107" si="9">D106*E106</f>
        <v>0</v>
      </c>
    </row>
    <row r="107" spans="1:7" s="4" customFormat="1" ht="15.6" thickBot="1">
      <c r="A107" s="16" t="s">
        <v>397</v>
      </c>
      <c r="B107" s="48" t="s">
        <v>142</v>
      </c>
      <c r="C107" s="12" t="s">
        <v>4</v>
      </c>
      <c r="D107" s="17">
        <f>6*1.4*3+3*3*1.4</f>
        <v>37.799999999999997</v>
      </c>
      <c r="E107" s="201"/>
      <c r="F107" s="272">
        <f t="shared" si="9"/>
        <v>0</v>
      </c>
    </row>
    <row r="108" spans="1:7" s="4" customFormat="1" ht="16.2" thickBot="1">
      <c r="A108" s="75"/>
      <c r="B108" s="76" t="s">
        <v>160</v>
      </c>
      <c r="C108" s="77"/>
      <c r="D108" s="78"/>
      <c r="E108" s="79"/>
      <c r="F108" s="281">
        <f>SUM(F98:F107)</f>
        <v>0</v>
      </c>
    </row>
    <row r="109" spans="1:7" s="40" customFormat="1" ht="16.2" thickBot="1">
      <c r="A109" s="189"/>
      <c r="B109" s="190"/>
      <c r="C109" s="191"/>
      <c r="D109" s="192"/>
      <c r="E109" s="193"/>
      <c r="F109" s="282"/>
    </row>
    <row r="110" spans="1:7" s="4" customFormat="1" ht="16.2" thickBot="1">
      <c r="A110" s="59"/>
      <c r="B110" s="60" t="s">
        <v>366</v>
      </c>
      <c r="C110" s="61"/>
      <c r="D110" s="62"/>
      <c r="E110" s="63"/>
      <c r="F110" s="283">
        <f>F108+F94+F85+F79+F69+F62+F14</f>
        <v>0</v>
      </c>
    </row>
    <row r="111" spans="1:7" s="40" customFormat="1" ht="16.2" thickBot="1">
      <c r="A111" s="189"/>
      <c r="B111" s="284"/>
      <c r="C111" s="191"/>
      <c r="D111" s="192"/>
      <c r="E111" s="193"/>
      <c r="F111" s="282"/>
    </row>
    <row r="112" spans="1:7" s="4" customFormat="1" ht="16.2" thickBot="1">
      <c r="A112" s="59"/>
      <c r="B112" s="60" t="s">
        <v>347</v>
      </c>
      <c r="C112" s="61"/>
      <c r="D112" s="194">
        <v>0.1</v>
      </c>
      <c r="E112" s="63"/>
      <c r="F112" s="283">
        <f>F110*D112</f>
        <v>0</v>
      </c>
    </row>
    <row r="113" spans="1:6" s="40" customFormat="1" ht="16.2" thickBot="1">
      <c r="A113" s="31"/>
      <c r="B113" s="245"/>
      <c r="C113" s="250"/>
      <c r="D113" s="251"/>
      <c r="E113" s="252"/>
      <c r="F113" s="285"/>
    </row>
    <row r="114" spans="1:6" s="4" customFormat="1" ht="16.2" thickBot="1">
      <c r="A114" s="59"/>
      <c r="B114" s="60" t="s">
        <v>367</v>
      </c>
      <c r="C114" s="61"/>
      <c r="D114" s="62"/>
      <c r="E114" s="63"/>
      <c r="F114" s="283">
        <f>F112+F110</f>
        <v>0</v>
      </c>
    </row>
    <row r="115" spans="1:6" s="40" customFormat="1" ht="15.6">
      <c r="A115" s="31"/>
      <c r="B115" s="245"/>
      <c r="C115" s="250"/>
      <c r="D115" s="251"/>
      <c r="E115" s="252"/>
      <c r="F115" s="285"/>
    </row>
  </sheetData>
  <sheetProtection selectLockedCells="1"/>
  <mergeCells count="2">
    <mergeCell ref="B4:C4"/>
    <mergeCell ref="A5:F5"/>
  </mergeCells>
  <phoneticPr fontId="36" type="noConversion"/>
  <pageMargins left="0.7" right="0.7" top="0.75" bottom="0.75" header="0.3" footer="0.3"/>
  <pageSetup paperSize="9" scale="55" fitToHeight="4" orientation="portrait" r:id="rId1"/>
  <rowBreaks count="1" manualBreakCount="1">
    <brk id="7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76" zoomScaleNormal="100" zoomScaleSheetLayoutView="100" workbookViewId="0">
      <selection activeCell="B95" sqref="B95"/>
    </sheetView>
  </sheetViews>
  <sheetFormatPr baseColWidth="10" defaultRowHeight="14.4"/>
  <cols>
    <col min="2" max="2" width="53.21875" customWidth="1"/>
    <col min="3" max="3" width="7.21875" customWidth="1"/>
    <col min="6" max="6" width="15.5546875" customWidth="1"/>
  </cols>
  <sheetData>
    <row r="1" spans="1:6" ht="89.55" customHeight="1">
      <c r="A1" s="531"/>
      <c r="B1" s="531"/>
      <c r="C1" s="531"/>
      <c r="D1" s="531"/>
      <c r="E1" s="531"/>
      <c r="F1" s="531"/>
    </row>
    <row r="2" spans="1:6">
      <c r="D2" s="188"/>
    </row>
    <row r="3" spans="1:6" s="197" customFormat="1" ht="17.25" customHeight="1">
      <c r="A3" s="532" t="s">
        <v>353</v>
      </c>
      <c r="B3" s="533"/>
      <c r="C3" s="533"/>
      <c r="D3" s="533"/>
      <c r="E3" s="533"/>
      <c r="F3" s="534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29.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6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181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340</v>
      </c>
      <c r="C8" s="128" t="s">
        <v>182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175</v>
      </c>
      <c r="C9" s="128" t="s">
        <v>182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182</v>
      </c>
      <c r="D10" s="129">
        <v>1</v>
      </c>
      <c r="E10" s="219"/>
      <c r="F10" s="130">
        <f>D10*E10</f>
        <v>0</v>
      </c>
    </row>
    <row r="11" spans="1:6" s="29" customFormat="1" ht="15.6">
      <c r="A11" s="118"/>
      <c r="B11" s="131" t="s">
        <v>183</v>
      </c>
      <c r="C11" s="132"/>
      <c r="D11" s="133"/>
      <c r="E11" s="220"/>
      <c r="F11" s="134">
        <f>SUM(F8:F10)</f>
        <v>0</v>
      </c>
    </row>
    <row r="12" spans="1:6" s="29" customFormat="1" ht="15.6">
      <c r="A12" s="118"/>
      <c r="B12" s="119"/>
      <c r="C12" s="120"/>
      <c r="D12" s="135"/>
      <c r="E12" s="221"/>
      <c r="F12" s="136"/>
    </row>
    <row r="13" spans="1:6" s="29" customFormat="1" ht="15.6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184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351</v>
      </c>
      <c r="C15" s="142" t="s">
        <v>282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185</v>
      </c>
      <c r="C16" s="142" t="s">
        <v>282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186</v>
      </c>
      <c r="C17" s="142" t="s">
        <v>282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6">
      <c r="A18" s="144"/>
      <c r="B18" s="145" t="s">
        <v>187</v>
      </c>
      <c r="C18" s="146"/>
      <c r="D18" s="147"/>
      <c r="E18" s="224"/>
      <c r="F18" s="148">
        <f>SUM(F15:F17)</f>
        <v>0</v>
      </c>
    </row>
    <row r="19" spans="1:6" s="29" customFormat="1" ht="15.6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188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88</v>
      </c>
      <c r="B22" s="127" t="s">
        <v>189</v>
      </c>
      <c r="C22" s="128"/>
      <c r="D22" s="143"/>
      <c r="E22" s="223"/>
      <c r="F22" s="130"/>
    </row>
    <row r="23" spans="1:6" s="31" customFormat="1" ht="17.25" customHeight="1">
      <c r="A23" s="126" t="s">
        <v>190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191</v>
      </c>
      <c r="B24" s="127" t="s">
        <v>352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89</v>
      </c>
      <c r="B25" s="127" t="s">
        <v>192</v>
      </c>
      <c r="C25" s="128"/>
      <c r="D25" s="143"/>
      <c r="E25" s="223"/>
      <c r="F25" s="130"/>
    </row>
    <row r="26" spans="1:6" s="31" customFormat="1" ht="17.25" customHeight="1">
      <c r="A26" s="126" t="s">
        <v>193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191</v>
      </c>
      <c r="B27" s="127" t="s">
        <v>352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194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90</v>
      </c>
      <c r="B29" s="127" t="s">
        <v>195</v>
      </c>
      <c r="C29" s="128"/>
      <c r="D29" s="143"/>
      <c r="E29" s="223"/>
      <c r="F29" s="130"/>
    </row>
    <row r="30" spans="1:6" s="31" customFormat="1" ht="17.25" customHeight="1">
      <c r="A30" s="126" t="s">
        <v>196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197</v>
      </c>
      <c r="B31" s="127" t="s">
        <v>352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198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91</v>
      </c>
      <c r="B33" s="127" t="s">
        <v>199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92</v>
      </c>
      <c r="B34" s="127" t="s">
        <v>200</v>
      </c>
      <c r="C34" s="128"/>
      <c r="D34" s="143"/>
      <c r="E34" s="223"/>
      <c r="F34" s="130"/>
    </row>
    <row r="35" spans="1:6" s="29" customFormat="1" ht="17.25" customHeight="1">
      <c r="A35" s="152" t="s">
        <v>201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201</v>
      </c>
      <c r="B36" s="127" t="s">
        <v>372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202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150</v>
      </c>
      <c r="B40" s="127" t="s">
        <v>203</v>
      </c>
      <c r="C40" s="128"/>
      <c r="D40" s="143"/>
      <c r="E40" s="223"/>
      <c r="F40" s="130"/>
    </row>
    <row r="41" spans="1:6" s="31" customFormat="1" ht="17.25" customHeight="1">
      <c r="A41" s="126" t="s">
        <v>204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205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206</v>
      </c>
      <c r="B43" s="127" t="s">
        <v>207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208</v>
      </c>
      <c r="C44" s="154"/>
      <c r="D44" s="121"/>
      <c r="E44" s="222"/>
      <c r="F44" s="136"/>
    </row>
    <row r="45" spans="1:6" s="29" customFormat="1" ht="17.25" customHeight="1">
      <c r="A45" s="152" t="s">
        <v>209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210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211</v>
      </c>
      <c r="B47" s="127" t="s">
        <v>207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212</v>
      </c>
      <c r="C48" s="154"/>
      <c r="D48" s="121"/>
      <c r="E48" s="222"/>
      <c r="F48" s="136"/>
    </row>
    <row r="49" spans="1:6" s="29" customFormat="1" ht="17.25" customHeight="1">
      <c r="A49" s="152" t="s">
        <v>213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214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215</v>
      </c>
      <c r="B51" s="127" t="s">
        <v>207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216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217</v>
      </c>
      <c r="B54" s="153" t="s">
        <v>218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219</v>
      </c>
      <c r="B55" s="153" t="s">
        <v>220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221</v>
      </c>
      <c r="B56" s="153" t="s">
        <v>222</v>
      </c>
      <c r="C56" s="154" t="s">
        <v>283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223</v>
      </c>
      <c r="B59" s="153" t="s">
        <v>350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108</v>
      </c>
      <c r="B62" s="159" t="s">
        <v>224</v>
      </c>
      <c r="C62" s="154"/>
      <c r="D62" s="121"/>
      <c r="E62" s="222"/>
      <c r="F62" s="136"/>
    </row>
    <row r="63" spans="1:6" s="29" customFormat="1" ht="17.25" customHeight="1">
      <c r="A63" s="152" t="s">
        <v>109</v>
      </c>
      <c r="B63" s="160" t="s">
        <v>225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226</v>
      </c>
      <c r="B64" s="161" t="s">
        <v>227</v>
      </c>
      <c r="C64" s="154"/>
      <c r="D64" s="121"/>
      <c r="E64" s="222"/>
      <c r="F64" s="136"/>
    </row>
    <row r="65" spans="1:6" s="29" customFormat="1" ht="17.25" hidden="1" customHeight="1">
      <c r="A65" s="152" t="s">
        <v>228</v>
      </c>
      <c r="B65" s="153" t="s">
        <v>229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230</v>
      </c>
      <c r="B66" s="153" t="s">
        <v>231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232</v>
      </c>
      <c r="B67" s="153" t="s">
        <v>233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234</v>
      </c>
      <c r="B68" s="153" t="s">
        <v>235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236</v>
      </c>
      <c r="B69" s="153" t="s">
        <v>237</v>
      </c>
      <c r="C69" s="154"/>
      <c r="D69" s="121"/>
      <c r="E69" s="222"/>
      <c r="F69" s="136"/>
    </row>
    <row r="70" spans="1:6" s="29" customFormat="1" ht="17.25" hidden="1" customHeight="1">
      <c r="A70" s="152" t="s">
        <v>238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239</v>
      </c>
      <c r="B71" s="153" t="s">
        <v>240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241</v>
      </c>
      <c r="B72" s="153" t="s">
        <v>100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242</v>
      </c>
      <c r="B73" s="153" t="s">
        <v>243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6">
      <c r="A75" s="152"/>
      <c r="B75" s="163"/>
      <c r="C75" s="120"/>
      <c r="D75" s="135"/>
      <c r="E75" s="221"/>
      <c r="F75" s="136"/>
    </row>
    <row r="76" spans="1:6" s="29" customFormat="1" ht="15.6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6">
      <c r="A77" s="152"/>
      <c r="B77" s="164"/>
      <c r="C77" s="120"/>
      <c r="D77" s="135"/>
      <c r="E77" s="221"/>
      <c r="F77" s="136"/>
    </row>
    <row r="78" spans="1:6" s="29" customFormat="1" ht="15.6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6">
      <c r="A79" s="152" t="s">
        <v>116</v>
      </c>
      <c r="B79" s="153" t="s">
        <v>117</v>
      </c>
      <c r="C79" s="154"/>
      <c r="D79" s="165"/>
      <c r="E79" s="226"/>
      <c r="F79" s="136"/>
    </row>
    <row r="80" spans="1:6" s="29" customFormat="1" ht="15.6">
      <c r="A80" s="152" t="s">
        <v>118</v>
      </c>
      <c r="B80" s="153" t="s">
        <v>244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6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6">
      <c r="A82" s="118"/>
      <c r="B82" s="164"/>
      <c r="C82" s="120"/>
      <c r="D82" s="135"/>
      <c r="E82" s="221"/>
      <c r="F82" s="136"/>
    </row>
    <row r="83" spans="1:6" s="29" customFormat="1" ht="15.6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6">
      <c r="A84" s="152" t="s">
        <v>123</v>
      </c>
      <c r="B84" s="153" t="s">
        <v>43</v>
      </c>
      <c r="C84" s="120"/>
      <c r="D84" s="135"/>
      <c r="E84" s="221"/>
      <c r="F84" s="136"/>
    </row>
    <row r="85" spans="1:6" s="29" customFormat="1" ht="15.6">
      <c r="A85" s="152" t="s">
        <v>124</v>
      </c>
      <c r="B85" s="158" t="s">
        <v>44</v>
      </c>
      <c r="C85" s="120"/>
      <c r="D85" s="135"/>
      <c r="E85" s="221"/>
      <c r="F85" s="136"/>
    </row>
    <row r="86" spans="1:6" s="29" customFormat="1" ht="15.6">
      <c r="A86" s="152" t="s">
        <v>145</v>
      </c>
      <c r="B86" s="153" t="s">
        <v>670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6">
      <c r="A87" s="152" t="s">
        <v>125</v>
      </c>
      <c r="B87" s="158" t="s">
        <v>126</v>
      </c>
      <c r="C87" s="154"/>
      <c r="D87" s="121"/>
      <c r="E87" s="226"/>
      <c r="F87" s="136"/>
    </row>
    <row r="88" spans="1:6" s="29" customFormat="1" ht="15.6">
      <c r="A88" s="152" t="s">
        <v>127</v>
      </c>
      <c r="B88" s="153" t="s">
        <v>245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6">
      <c r="A89" s="152" t="s">
        <v>246</v>
      </c>
      <c r="B89" s="158" t="s">
        <v>45</v>
      </c>
      <c r="C89" s="166"/>
      <c r="D89" s="167"/>
      <c r="E89" s="226"/>
      <c r="F89" s="136"/>
    </row>
    <row r="90" spans="1:6" s="29" customFormat="1" ht="15.6">
      <c r="A90" s="152" t="s">
        <v>247</v>
      </c>
      <c r="B90" s="153" t="s">
        <v>248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6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6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6">
      <c r="A95" s="172" t="s">
        <v>50</v>
      </c>
      <c r="B95" s="153" t="s">
        <v>249</v>
      </c>
      <c r="C95" s="154" t="s">
        <v>182</v>
      </c>
      <c r="D95" s="121">
        <v>1</v>
      </c>
      <c r="E95" s="226"/>
      <c r="F95" s="136">
        <f>D95*E95</f>
        <v>0</v>
      </c>
    </row>
    <row r="96" spans="1:6" s="29" customFormat="1" ht="15.6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6">
      <c r="A97" s="152"/>
      <c r="B97" s="139"/>
      <c r="C97" s="139"/>
      <c r="D97" s="173"/>
      <c r="E97" s="228"/>
      <c r="F97" s="136"/>
    </row>
    <row r="98" spans="1:6" s="29" customFormat="1" ht="15.6">
      <c r="A98" s="122" t="s">
        <v>53</v>
      </c>
      <c r="B98" s="123" t="s">
        <v>250</v>
      </c>
      <c r="C98" s="124"/>
      <c r="D98" s="125"/>
      <c r="E98" s="218"/>
      <c r="F98" s="124"/>
    </row>
    <row r="99" spans="1:6" s="29" customFormat="1" ht="19.95" customHeight="1">
      <c r="A99" s="172" t="s">
        <v>133</v>
      </c>
      <c r="B99" s="174" t="s">
        <v>251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6">
      <c r="A100" s="172" t="s">
        <v>132</v>
      </c>
      <c r="B100" s="176" t="s">
        <v>252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6">
      <c r="A101" s="172"/>
      <c r="B101" s="176"/>
      <c r="C101" s="120"/>
      <c r="D101" s="135"/>
      <c r="E101" s="221"/>
      <c r="F101" s="136"/>
    </row>
    <row r="102" spans="1:6" s="29" customFormat="1" ht="15.6">
      <c r="A102" s="152"/>
      <c r="B102" s="131" t="s">
        <v>253</v>
      </c>
      <c r="C102" s="177"/>
      <c r="D102" s="133"/>
      <c r="E102" s="220"/>
      <c r="F102" s="134">
        <f>SUM(F99:F101)</f>
        <v>0</v>
      </c>
    </row>
    <row r="103" spans="1:6" s="29" customFormat="1" ht="15.6">
      <c r="A103" s="152"/>
      <c r="B103" s="178"/>
      <c r="C103" s="120"/>
      <c r="D103" s="135"/>
      <c r="E103" s="221"/>
      <c r="F103" s="136"/>
    </row>
    <row r="104" spans="1:6" s="29" customFormat="1" ht="15.6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6">
      <c r="A105" s="152" t="s">
        <v>132</v>
      </c>
      <c r="B105" s="158" t="s">
        <v>254</v>
      </c>
      <c r="C105" s="120"/>
      <c r="D105" s="135"/>
      <c r="E105" s="221"/>
      <c r="F105" s="136"/>
    </row>
    <row r="106" spans="1:6" s="29" customFormat="1" ht="15.6">
      <c r="A106" s="152" t="s">
        <v>163</v>
      </c>
      <c r="B106" s="153" t="s">
        <v>255</v>
      </c>
      <c r="C106" s="120"/>
      <c r="D106" s="135"/>
      <c r="E106" s="221"/>
      <c r="F106" s="136"/>
    </row>
    <row r="107" spans="1:6" s="29" customFormat="1" ht="15.6">
      <c r="A107" s="152" t="s">
        <v>256</v>
      </c>
      <c r="B107" s="153" t="s">
        <v>257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6">
      <c r="A108" s="152" t="s">
        <v>258</v>
      </c>
      <c r="B108" s="153" t="s">
        <v>259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6">
      <c r="A109" s="152" t="s">
        <v>133</v>
      </c>
      <c r="B109" s="158" t="s">
        <v>260</v>
      </c>
      <c r="C109" s="154"/>
      <c r="D109" s="121"/>
      <c r="E109" s="226"/>
      <c r="F109" s="136"/>
    </row>
    <row r="110" spans="1:6" s="29" customFormat="1" ht="15.6">
      <c r="A110" s="152" t="s">
        <v>164</v>
      </c>
      <c r="B110" s="153" t="s">
        <v>261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">
      <c r="A112" s="181"/>
      <c r="B112" s="169"/>
      <c r="C112" s="182"/>
      <c r="D112" s="171"/>
      <c r="E112" s="227"/>
      <c r="F112" s="130"/>
    </row>
    <row r="113" spans="1:8" s="2" customFormat="1" ht="15.6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6">
      <c r="A114" s="152" t="s">
        <v>262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263</v>
      </c>
      <c r="B115" s="184" t="s">
        <v>264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265</v>
      </c>
      <c r="B116" s="184" t="s">
        <v>266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">
      <c r="A118" s="179"/>
      <c r="B118" s="230"/>
      <c r="C118" s="185"/>
      <c r="D118" s="135"/>
      <c r="E118" s="221"/>
      <c r="F118" s="136"/>
    </row>
    <row r="119" spans="1:8" s="29" customFormat="1" ht="15.6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6">
      <c r="A120" s="152" t="s">
        <v>144</v>
      </c>
      <c r="B120" s="186" t="s">
        <v>62</v>
      </c>
      <c r="C120" s="154"/>
      <c r="D120" s="165"/>
      <c r="E120" s="226"/>
      <c r="F120" s="136"/>
    </row>
    <row r="121" spans="1:8" s="29" customFormat="1" ht="15.6">
      <c r="A121" s="152" t="s">
        <v>165</v>
      </c>
      <c r="B121" s="153" t="s">
        <v>267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6">
      <c r="A122" s="152" t="s">
        <v>268</v>
      </c>
      <c r="B122" s="153" t="s">
        <v>269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6">
      <c r="A123" s="152" t="s">
        <v>270</v>
      </c>
      <c r="B123" s="158" t="s">
        <v>63</v>
      </c>
      <c r="C123" s="154"/>
      <c r="D123" s="121"/>
      <c r="E123" s="226"/>
      <c r="F123" s="136"/>
      <c r="H123" s="306"/>
    </row>
    <row r="124" spans="1:8" s="29" customFormat="1" ht="15.6">
      <c r="A124" s="152" t="s">
        <v>271</v>
      </c>
      <c r="B124" s="153" t="s">
        <v>272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6">
      <c r="A125" s="152" t="s">
        <v>273</v>
      </c>
      <c r="B125" s="153" t="s">
        <v>274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6">
      <c r="A126" s="172" t="s">
        <v>275</v>
      </c>
      <c r="B126" s="158" t="s">
        <v>57</v>
      </c>
      <c r="C126" s="154"/>
      <c r="D126" s="121"/>
      <c r="E126" s="226"/>
      <c r="F126" s="136"/>
    </row>
    <row r="127" spans="1:8" s="29" customFormat="1" ht="15.6">
      <c r="A127" s="172" t="s">
        <v>276</v>
      </c>
      <c r="B127" s="153" t="s">
        <v>277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">
      <c r="A129" s="535"/>
      <c r="B129" s="536"/>
      <c r="C129" s="536"/>
      <c r="D129" s="536"/>
      <c r="E129" s="536"/>
      <c r="F129" s="536"/>
    </row>
    <row r="130" spans="1:6" s="29" customFormat="1" ht="20.25" customHeight="1">
      <c r="A130" s="537" t="s">
        <v>278</v>
      </c>
      <c r="B130" s="538"/>
      <c r="C130" s="538"/>
      <c r="D130" s="254"/>
      <c r="E130" s="195"/>
      <c r="F130" s="187">
        <f>F128+F111+F102+F96+F91+F81+F76+F117+F11</f>
        <v>0</v>
      </c>
    </row>
    <row r="131" spans="1:6" s="29" customFormat="1" ht="15">
      <c r="A131" s="535"/>
      <c r="B131" s="536"/>
      <c r="C131" s="536"/>
      <c r="D131" s="536"/>
      <c r="E131" s="536"/>
      <c r="F131" s="536"/>
    </row>
    <row r="132" spans="1:6" s="29" customFormat="1" ht="20.25" customHeight="1">
      <c r="A132" s="537" t="s">
        <v>347</v>
      </c>
      <c r="B132" s="538"/>
      <c r="C132" s="538"/>
      <c r="D132" s="196">
        <v>0.1</v>
      </c>
      <c r="E132" s="195"/>
      <c r="F132" s="187">
        <f>F130*D132</f>
        <v>0</v>
      </c>
    </row>
    <row r="133" spans="1:6" s="29" customFormat="1" ht="15">
      <c r="A133" s="527"/>
      <c r="B133" s="528"/>
      <c r="C133" s="529"/>
      <c r="D133" s="529"/>
      <c r="E133" s="529"/>
      <c r="F133" s="529"/>
    </row>
    <row r="134" spans="1:6" s="29" customFormat="1" ht="24.75" customHeight="1">
      <c r="A134" s="527" t="s">
        <v>279</v>
      </c>
      <c r="B134" s="528"/>
      <c r="C134" s="529"/>
      <c r="D134" s="529"/>
      <c r="E134" s="530">
        <f>F130+F132</f>
        <v>0</v>
      </c>
      <c r="F134" s="530"/>
    </row>
    <row r="135" spans="1:6" s="29" customFormat="1" ht="15.6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0F84-B3C2-4F5D-AFD9-D54491371C32}">
  <sheetPr>
    <tabColor theme="0"/>
  </sheetPr>
  <dimension ref="A3:H114"/>
  <sheetViews>
    <sheetView view="pageBreakPreview" topLeftCell="A55" zoomScale="80" zoomScaleNormal="100" zoomScaleSheetLayoutView="80" workbookViewId="0">
      <selection activeCell="B80" sqref="B80"/>
    </sheetView>
  </sheetViews>
  <sheetFormatPr baseColWidth="10" defaultColWidth="11.5546875" defaultRowHeight="14.4"/>
  <cols>
    <col min="1" max="1" width="11.5546875" style="420"/>
    <col min="2" max="2" width="62.88671875" style="420" customWidth="1"/>
    <col min="3" max="3" width="8.33203125" style="420" customWidth="1"/>
    <col min="4" max="5" width="11.5546875" style="420"/>
    <col min="6" max="6" width="17" style="420" customWidth="1"/>
    <col min="7" max="16384" width="11.5546875" style="420"/>
  </cols>
  <sheetData>
    <row r="3" spans="1:8" s="421" customFormat="1" ht="30.75" customHeight="1">
      <c r="A3" s="539" t="s">
        <v>664</v>
      </c>
      <c r="B3" s="540"/>
      <c r="C3" s="540"/>
      <c r="D3" s="540"/>
      <c r="E3" s="540"/>
      <c r="F3" s="541"/>
    </row>
    <row r="4" spans="1:8" s="491" customFormat="1" ht="41.4">
      <c r="A4" s="495" t="s">
        <v>12</v>
      </c>
      <c r="B4" s="494" t="s">
        <v>8</v>
      </c>
      <c r="C4" s="492" t="s">
        <v>0</v>
      </c>
      <c r="D4" s="492" t="s">
        <v>2</v>
      </c>
      <c r="E4" s="493" t="s">
        <v>3</v>
      </c>
      <c r="F4" s="492" t="s">
        <v>1</v>
      </c>
    </row>
    <row r="5" spans="1:8" s="421" customFormat="1" ht="15">
      <c r="A5" s="469"/>
      <c r="B5" s="457"/>
      <c r="C5" s="466"/>
      <c r="D5" s="445"/>
      <c r="E5" s="446"/>
      <c r="F5" s="445"/>
    </row>
    <row r="6" spans="1:8" s="421" customFormat="1" ht="18" customHeight="1">
      <c r="A6" s="456" t="s">
        <v>13</v>
      </c>
      <c r="B6" s="455" t="s">
        <v>287</v>
      </c>
      <c r="C6" s="454"/>
      <c r="D6" s="452"/>
      <c r="E6" s="453"/>
      <c r="F6" s="452"/>
    </row>
    <row r="7" spans="1:8" s="421" customFormat="1" ht="18" customHeight="1">
      <c r="A7" s="451"/>
      <c r="B7" s="487"/>
      <c r="C7" s="447"/>
      <c r="D7" s="447"/>
      <c r="E7" s="446"/>
      <c r="F7" s="445"/>
    </row>
    <row r="8" spans="1:8" s="421" customFormat="1" ht="18" customHeight="1">
      <c r="A8" s="451" t="s">
        <v>288</v>
      </c>
      <c r="B8" s="448" t="s">
        <v>646</v>
      </c>
      <c r="C8" s="447" t="s">
        <v>633</v>
      </c>
      <c r="D8" s="447">
        <v>1</v>
      </c>
      <c r="E8" s="446"/>
      <c r="F8" s="445">
        <f>D8*E8</f>
        <v>0</v>
      </c>
    </row>
    <row r="9" spans="1:8" s="421" customFormat="1" ht="18" customHeight="1">
      <c r="A9" s="451" t="s">
        <v>289</v>
      </c>
      <c r="B9" s="448" t="s">
        <v>645</v>
      </c>
      <c r="C9" s="447" t="s">
        <v>9</v>
      </c>
      <c r="D9" s="447">
        <v>8</v>
      </c>
      <c r="E9" s="446"/>
      <c r="F9" s="445">
        <f>D9*E9</f>
        <v>0</v>
      </c>
    </row>
    <row r="10" spans="1:8" s="421" customFormat="1" ht="18" customHeight="1">
      <c r="A10" s="481"/>
      <c r="B10" s="490" t="s">
        <v>290</v>
      </c>
      <c r="C10" s="489"/>
      <c r="D10" s="489"/>
      <c r="E10" s="477"/>
      <c r="F10" s="476">
        <f>SUM(F8:F9)</f>
        <v>0</v>
      </c>
      <c r="H10" s="472"/>
    </row>
    <row r="11" spans="1:8" s="421" customFormat="1" ht="9.6" customHeight="1">
      <c r="A11" s="451"/>
      <c r="B11" s="487"/>
      <c r="C11" s="447"/>
      <c r="D11" s="447"/>
      <c r="E11" s="446"/>
      <c r="F11" s="445"/>
    </row>
    <row r="12" spans="1:8" s="421" customFormat="1" ht="17.399999999999999">
      <c r="A12" s="469"/>
      <c r="B12" s="488" t="s">
        <v>291</v>
      </c>
      <c r="C12" s="468"/>
      <c r="D12" s="441"/>
      <c r="E12" s="440"/>
      <c r="F12" s="439">
        <f>F10</f>
        <v>0</v>
      </c>
    </row>
    <row r="13" spans="1:8" s="421" customFormat="1" ht="15">
      <c r="A13" s="469"/>
      <c r="B13" s="457"/>
      <c r="C13" s="466"/>
      <c r="D13" s="445"/>
      <c r="E13" s="446"/>
      <c r="F13" s="445"/>
    </row>
    <row r="14" spans="1:8" s="421" customFormat="1" ht="15.6">
      <c r="A14" s="456" t="s">
        <v>14</v>
      </c>
      <c r="B14" s="455" t="s">
        <v>15</v>
      </c>
      <c r="C14" s="454"/>
      <c r="D14" s="452"/>
      <c r="E14" s="453"/>
      <c r="F14" s="452"/>
    </row>
    <row r="15" spans="1:8" s="421" customFormat="1" ht="17.25" customHeight="1">
      <c r="A15" s="451"/>
      <c r="B15" s="487"/>
      <c r="C15" s="447"/>
      <c r="D15" s="447"/>
      <c r="E15" s="482"/>
      <c r="F15" s="445"/>
    </row>
    <row r="16" spans="1:8" s="421" customFormat="1" ht="17.25" customHeight="1">
      <c r="A16" s="451" t="s">
        <v>79</v>
      </c>
      <c r="B16" s="486" t="s">
        <v>292</v>
      </c>
      <c r="C16" s="447"/>
      <c r="D16" s="447"/>
      <c r="E16" s="446"/>
      <c r="F16" s="445"/>
    </row>
    <row r="17" spans="1:6" s="421" customFormat="1" ht="15.6">
      <c r="A17" s="451" t="s">
        <v>293</v>
      </c>
      <c r="B17" s="485" t="s">
        <v>19</v>
      </c>
      <c r="C17" s="447"/>
      <c r="D17" s="447"/>
      <c r="E17" s="446"/>
      <c r="F17" s="445"/>
    </row>
    <row r="18" spans="1:6" s="421" customFormat="1" ht="18" customHeight="1">
      <c r="A18" s="451" t="s">
        <v>294</v>
      </c>
      <c r="B18" s="448" t="s">
        <v>295</v>
      </c>
      <c r="C18" s="447" t="s">
        <v>4</v>
      </c>
      <c r="D18" s="447">
        <v>0</v>
      </c>
      <c r="E18" s="446"/>
      <c r="F18" s="445">
        <f>D18*E18</f>
        <v>0</v>
      </c>
    </row>
    <row r="19" spans="1:6" s="421" customFormat="1" ht="18" customHeight="1">
      <c r="A19" s="451" t="s">
        <v>296</v>
      </c>
      <c r="B19" s="448" t="s">
        <v>297</v>
      </c>
      <c r="C19" s="447"/>
      <c r="D19" s="447"/>
      <c r="E19" s="446"/>
      <c r="F19" s="445"/>
    </row>
    <row r="20" spans="1:6" s="421" customFormat="1" ht="18" customHeight="1">
      <c r="A20" s="451"/>
      <c r="B20" s="448" t="s">
        <v>20</v>
      </c>
      <c r="C20" s="447" t="s">
        <v>10</v>
      </c>
      <c r="D20" s="447">
        <v>0</v>
      </c>
      <c r="E20" s="446"/>
      <c r="F20" s="445">
        <f>D20*E20</f>
        <v>0</v>
      </c>
    </row>
    <row r="21" spans="1:6" s="421" customFormat="1" ht="18" customHeight="1">
      <c r="A21" s="451"/>
      <c r="B21" s="448" t="s">
        <v>61</v>
      </c>
      <c r="C21" s="447" t="s">
        <v>23</v>
      </c>
      <c r="D21" s="447">
        <f>D20*70</f>
        <v>0</v>
      </c>
      <c r="E21" s="446"/>
      <c r="F21" s="445">
        <f>D21*E21</f>
        <v>0</v>
      </c>
    </row>
    <row r="22" spans="1:6" s="421" customFormat="1" ht="18" customHeight="1">
      <c r="A22" s="451"/>
      <c r="B22" s="448" t="s">
        <v>21</v>
      </c>
      <c r="C22" s="447" t="s">
        <v>4</v>
      </c>
      <c r="D22" s="447">
        <f>D20*12</f>
        <v>0</v>
      </c>
      <c r="E22" s="446"/>
      <c r="F22" s="445">
        <f>D22*E22</f>
        <v>0</v>
      </c>
    </row>
    <row r="23" spans="1:6" s="421" customFormat="1" ht="18" customHeight="1">
      <c r="A23" s="451"/>
      <c r="B23" s="448" t="s">
        <v>373</v>
      </c>
      <c r="C23" s="447" t="s">
        <v>4</v>
      </c>
      <c r="D23" s="447">
        <v>0</v>
      </c>
      <c r="E23" s="446"/>
      <c r="F23" s="445">
        <f>D23*E23</f>
        <v>0</v>
      </c>
    </row>
    <row r="24" spans="1:6" s="421" customFormat="1" ht="18" customHeight="1">
      <c r="A24" s="451" t="s">
        <v>298</v>
      </c>
      <c r="B24" s="484" t="s">
        <v>299</v>
      </c>
      <c r="C24" s="447"/>
      <c r="D24" s="447"/>
      <c r="E24" s="446"/>
      <c r="F24" s="445"/>
    </row>
    <row r="25" spans="1:6" s="421" customFormat="1" ht="18" customHeight="1">
      <c r="A25" s="451"/>
      <c r="B25" s="448" t="s">
        <v>20</v>
      </c>
      <c r="C25" s="447" t="s">
        <v>10</v>
      </c>
      <c r="D25" s="447">
        <v>3</v>
      </c>
      <c r="E25" s="446"/>
      <c r="F25" s="445">
        <f>D25*E25</f>
        <v>0</v>
      </c>
    </row>
    <row r="26" spans="1:6" s="421" customFormat="1" ht="18" customHeight="1">
      <c r="A26" s="451"/>
      <c r="B26" s="448" t="s">
        <v>300</v>
      </c>
      <c r="C26" s="447" t="s">
        <v>23</v>
      </c>
      <c r="D26" s="447">
        <f>D25*12</f>
        <v>36</v>
      </c>
      <c r="E26" s="446"/>
      <c r="F26" s="445">
        <f>D26*E26</f>
        <v>0</v>
      </c>
    </row>
    <row r="27" spans="1:6" s="421" customFormat="1" ht="18" customHeight="1">
      <c r="A27" s="451" t="s">
        <v>301</v>
      </c>
      <c r="B27" s="484" t="s">
        <v>644</v>
      </c>
      <c r="C27" s="447"/>
      <c r="D27" s="447"/>
      <c r="E27" s="446"/>
      <c r="F27" s="445"/>
    </row>
    <row r="28" spans="1:6" s="421" customFormat="1" ht="18" customHeight="1">
      <c r="A28" s="451"/>
      <c r="B28" s="448" t="s">
        <v>302</v>
      </c>
      <c r="C28" s="447" t="s">
        <v>10</v>
      </c>
      <c r="D28" s="447">
        <f>8*3.5*0.1</f>
        <v>2.8000000000000003</v>
      </c>
      <c r="E28" s="446"/>
      <c r="F28" s="445">
        <f>D28*E28</f>
        <v>0</v>
      </c>
    </row>
    <row r="29" spans="1:6" s="421" customFormat="1" ht="18" customHeight="1">
      <c r="A29" s="451"/>
      <c r="B29" s="448" t="s">
        <v>303</v>
      </c>
      <c r="C29" s="447" t="s">
        <v>23</v>
      </c>
      <c r="D29" s="447">
        <f>D28*80</f>
        <v>224.00000000000003</v>
      </c>
      <c r="E29" s="446"/>
      <c r="F29" s="445">
        <f>D29*E29</f>
        <v>0</v>
      </c>
    </row>
    <row r="30" spans="1:6" s="421" customFormat="1" ht="18" customHeight="1">
      <c r="A30" s="451"/>
      <c r="B30" s="448" t="s">
        <v>304</v>
      </c>
      <c r="C30" s="447" t="s">
        <v>4</v>
      </c>
      <c r="D30" s="447">
        <f>D28*12</f>
        <v>33.6</v>
      </c>
      <c r="E30" s="446"/>
      <c r="F30" s="445">
        <f>D30*E30</f>
        <v>0</v>
      </c>
    </row>
    <row r="31" spans="1:6" s="421" customFormat="1" ht="18" customHeight="1">
      <c r="A31" s="451" t="s">
        <v>374</v>
      </c>
      <c r="B31" s="448" t="s">
        <v>375</v>
      </c>
      <c r="C31" s="447" t="s">
        <v>4</v>
      </c>
      <c r="D31" s="447">
        <v>0</v>
      </c>
      <c r="E31" s="446"/>
      <c r="F31" s="445">
        <f>D31*E31</f>
        <v>0</v>
      </c>
    </row>
    <row r="32" spans="1:6" s="421" customFormat="1" ht="17.25" customHeight="1">
      <c r="A32" s="451" t="s">
        <v>305</v>
      </c>
      <c r="B32" s="448" t="s">
        <v>25</v>
      </c>
      <c r="C32" s="474"/>
      <c r="D32" s="474"/>
      <c r="E32" s="482"/>
      <c r="F32" s="445"/>
    </row>
    <row r="33" spans="1:6" s="421" customFormat="1" ht="17.25" customHeight="1">
      <c r="A33" s="451" t="s">
        <v>306</v>
      </c>
      <c r="B33" s="484" t="s">
        <v>643</v>
      </c>
      <c r="C33" s="447" t="s">
        <v>4</v>
      </c>
      <c r="D33" s="447">
        <v>0</v>
      </c>
      <c r="E33" s="482"/>
      <c r="F33" s="445">
        <f>D33*E33</f>
        <v>0</v>
      </c>
    </row>
    <row r="34" spans="1:6" s="421" customFormat="1" ht="17.25" customHeight="1">
      <c r="A34" s="451" t="s">
        <v>307</v>
      </c>
      <c r="B34" s="484" t="s">
        <v>308</v>
      </c>
      <c r="C34" s="447"/>
      <c r="D34" s="447"/>
      <c r="E34" s="482"/>
      <c r="F34" s="445"/>
    </row>
    <row r="35" spans="1:6" s="421" customFormat="1" ht="17.25" customHeight="1">
      <c r="A35" s="451"/>
      <c r="B35" s="448" t="s">
        <v>20</v>
      </c>
      <c r="C35" s="447" t="s">
        <v>10</v>
      </c>
      <c r="D35" s="447">
        <v>0</v>
      </c>
      <c r="E35" s="482"/>
      <c r="F35" s="445">
        <f>D35*E35</f>
        <v>0</v>
      </c>
    </row>
    <row r="36" spans="1:6" s="421" customFormat="1" ht="17.25" customHeight="1">
      <c r="A36" s="451"/>
      <c r="B36" s="448" t="s">
        <v>22</v>
      </c>
      <c r="C36" s="447" t="s">
        <v>23</v>
      </c>
      <c r="D36" s="447">
        <f>D35*80</f>
        <v>0</v>
      </c>
      <c r="E36" s="482"/>
      <c r="F36" s="445">
        <f>D36*E36</f>
        <v>0</v>
      </c>
    </row>
    <row r="37" spans="1:6" s="421" customFormat="1" ht="17.25" customHeight="1">
      <c r="A37" s="451"/>
      <c r="B37" s="448" t="s">
        <v>21</v>
      </c>
      <c r="C37" s="447" t="s">
        <v>4</v>
      </c>
      <c r="D37" s="447">
        <f>D35*12</f>
        <v>0</v>
      </c>
      <c r="E37" s="482"/>
      <c r="F37" s="445">
        <f>D37*E37</f>
        <v>0</v>
      </c>
    </row>
    <row r="38" spans="1:6" s="421" customFormat="1" ht="17.25" customHeight="1">
      <c r="A38" s="451" t="s">
        <v>309</v>
      </c>
      <c r="B38" s="484" t="s">
        <v>310</v>
      </c>
      <c r="C38" s="447"/>
      <c r="D38" s="447"/>
      <c r="E38" s="482"/>
      <c r="F38" s="445"/>
    </row>
    <row r="39" spans="1:6" s="421" customFormat="1" ht="17.25" customHeight="1">
      <c r="A39" s="451"/>
      <c r="B39" s="448" t="s">
        <v>20</v>
      </c>
      <c r="C39" s="447" t="s">
        <v>10</v>
      </c>
      <c r="D39" s="447">
        <v>0</v>
      </c>
      <c r="E39" s="482"/>
      <c r="F39" s="445">
        <f>D39*E39</f>
        <v>0</v>
      </c>
    </row>
    <row r="40" spans="1:6" s="421" customFormat="1" ht="17.25" customHeight="1">
      <c r="A40" s="451"/>
      <c r="B40" s="448" t="s">
        <v>22</v>
      </c>
      <c r="C40" s="447" t="s">
        <v>23</v>
      </c>
      <c r="D40" s="447">
        <f>D39*80</f>
        <v>0</v>
      </c>
      <c r="E40" s="482"/>
      <c r="F40" s="445">
        <f>D40*E40</f>
        <v>0</v>
      </c>
    </row>
    <row r="41" spans="1:6" s="421" customFormat="1" ht="17.25" customHeight="1">
      <c r="A41" s="451"/>
      <c r="B41" s="448" t="s">
        <v>21</v>
      </c>
      <c r="C41" s="447" t="s">
        <v>4</v>
      </c>
      <c r="D41" s="447">
        <f>D39*12</f>
        <v>0</v>
      </c>
      <c r="E41" s="482"/>
      <c r="F41" s="445">
        <f>D41*E41</f>
        <v>0</v>
      </c>
    </row>
    <row r="42" spans="1:6" s="421" customFormat="1" ht="17.25" customHeight="1">
      <c r="A42" s="451" t="s">
        <v>311</v>
      </c>
      <c r="B42" s="448" t="s">
        <v>33</v>
      </c>
      <c r="C42" s="447"/>
      <c r="D42" s="447"/>
      <c r="E42" s="482"/>
      <c r="F42" s="445"/>
    </row>
    <row r="43" spans="1:6" s="421" customFormat="1" ht="17.25" customHeight="1">
      <c r="A43" s="451"/>
      <c r="B43" s="448" t="s">
        <v>642</v>
      </c>
      <c r="C43" s="447" t="s">
        <v>4</v>
      </c>
      <c r="D43" s="447">
        <v>0</v>
      </c>
      <c r="E43" s="482"/>
      <c r="F43" s="445">
        <f>D43*E43</f>
        <v>0</v>
      </c>
    </row>
    <row r="44" spans="1:6" s="421" customFormat="1" ht="17.25" customHeight="1">
      <c r="A44" s="451"/>
      <c r="B44" s="448" t="s">
        <v>641</v>
      </c>
      <c r="C44" s="447" t="s">
        <v>4</v>
      </c>
      <c r="D44" s="447">
        <v>0</v>
      </c>
      <c r="E44" s="482"/>
      <c r="F44" s="445">
        <f>D44*E44</f>
        <v>0</v>
      </c>
    </row>
    <row r="45" spans="1:6" s="421" customFormat="1" ht="17.25" customHeight="1">
      <c r="A45" s="451" t="s">
        <v>312</v>
      </c>
      <c r="B45" s="448" t="s">
        <v>313</v>
      </c>
      <c r="C45" s="447" t="s">
        <v>314</v>
      </c>
      <c r="D45" s="447">
        <f>0.6*0.6*3</f>
        <v>1.08</v>
      </c>
      <c r="E45" s="482"/>
      <c r="F45" s="445">
        <f>D45*E45</f>
        <v>0</v>
      </c>
    </row>
    <row r="46" spans="1:6" s="421" customFormat="1" ht="17.25" customHeight="1">
      <c r="A46" s="451" t="s">
        <v>315</v>
      </c>
      <c r="B46" s="483" t="s">
        <v>34</v>
      </c>
      <c r="C46" s="447"/>
      <c r="D46" s="447"/>
      <c r="E46" s="482"/>
      <c r="F46" s="445"/>
    </row>
    <row r="47" spans="1:6" s="421" customFormat="1" ht="17.25" customHeight="1">
      <c r="A47" s="451" t="s">
        <v>17</v>
      </c>
      <c r="B47" s="483" t="s">
        <v>35</v>
      </c>
      <c r="C47" s="447"/>
      <c r="D47" s="447"/>
      <c r="E47" s="482"/>
      <c r="F47" s="445"/>
    </row>
    <row r="48" spans="1:6" s="421" customFormat="1" ht="17.25" customHeight="1">
      <c r="A48" s="451" t="s">
        <v>86</v>
      </c>
      <c r="B48" s="448" t="s">
        <v>316</v>
      </c>
      <c r="C48" s="447" t="s">
        <v>9</v>
      </c>
      <c r="D48" s="447">
        <v>2</v>
      </c>
      <c r="E48" s="482"/>
      <c r="F48" s="445">
        <f>D48*E48</f>
        <v>0</v>
      </c>
    </row>
    <row r="49" spans="1:6" s="421" customFormat="1" ht="17.25" customHeight="1">
      <c r="A49" s="451" t="s">
        <v>31</v>
      </c>
      <c r="B49" s="483" t="s">
        <v>36</v>
      </c>
      <c r="C49" s="447"/>
      <c r="D49" s="447"/>
      <c r="E49" s="482"/>
      <c r="F49" s="445"/>
    </row>
    <row r="50" spans="1:6" s="421" customFormat="1" ht="17.25" customHeight="1">
      <c r="A50" s="451" t="s">
        <v>32</v>
      </c>
      <c r="B50" s="448" t="s">
        <v>64</v>
      </c>
      <c r="C50" s="447" t="s">
        <v>9</v>
      </c>
      <c r="D50" s="447">
        <v>0</v>
      </c>
      <c r="E50" s="482"/>
      <c r="F50" s="445">
        <f>D50*E50</f>
        <v>0</v>
      </c>
    </row>
    <row r="51" spans="1:6" s="421" customFormat="1" ht="17.25" customHeight="1">
      <c r="A51" s="481"/>
      <c r="B51" s="480" t="s">
        <v>37</v>
      </c>
      <c r="C51" s="479"/>
      <c r="D51" s="478"/>
      <c r="E51" s="477"/>
      <c r="F51" s="476">
        <f>SUM(F18:F50)</f>
        <v>0</v>
      </c>
    </row>
    <row r="52" spans="1:6" s="421" customFormat="1" ht="15.6">
      <c r="A52" s="451"/>
      <c r="B52" s="475"/>
      <c r="C52" s="466"/>
      <c r="D52" s="445"/>
      <c r="E52" s="446"/>
      <c r="F52" s="445"/>
    </row>
    <row r="53" spans="1:6" s="421" customFormat="1" ht="18.600000000000001" customHeight="1">
      <c r="A53" s="451"/>
      <c r="B53" s="443" t="s">
        <v>38</v>
      </c>
      <c r="C53" s="468"/>
      <c r="D53" s="441"/>
      <c r="E53" s="440"/>
      <c r="F53" s="439">
        <f>F51</f>
        <v>0</v>
      </c>
    </row>
    <row r="54" spans="1:6" s="421" customFormat="1" ht="15.6">
      <c r="A54" s="451"/>
      <c r="B54" s="473"/>
      <c r="C54" s="466"/>
      <c r="D54" s="445"/>
      <c r="E54" s="446"/>
      <c r="F54" s="445"/>
    </row>
    <row r="55" spans="1:6" s="421" customFormat="1" ht="15.6">
      <c r="A55" s="456" t="s">
        <v>18</v>
      </c>
      <c r="B55" s="455" t="s">
        <v>376</v>
      </c>
      <c r="C55" s="454"/>
      <c r="D55" s="452"/>
      <c r="E55" s="453"/>
      <c r="F55" s="452"/>
    </row>
    <row r="56" spans="1:6" s="421" customFormat="1" ht="15">
      <c r="A56" s="451" t="s">
        <v>116</v>
      </c>
      <c r="B56" s="448" t="s">
        <v>377</v>
      </c>
      <c r="C56" s="447" t="s">
        <v>9</v>
      </c>
      <c r="D56" s="447">
        <v>0</v>
      </c>
      <c r="E56" s="446"/>
      <c r="F56" s="445">
        <f>D56*E56</f>
        <v>0</v>
      </c>
    </row>
    <row r="57" spans="1:6" s="421" customFormat="1" ht="17.399999999999999">
      <c r="A57" s="469"/>
      <c r="B57" s="443" t="s">
        <v>378</v>
      </c>
      <c r="C57" s="468"/>
      <c r="D57" s="441"/>
      <c r="E57" s="440"/>
      <c r="F57" s="439">
        <f>SUM(F56:F56)</f>
        <v>0</v>
      </c>
    </row>
    <row r="58" spans="1:6" s="421" customFormat="1" ht="15.6">
      <c r="A58" s="469"/>
      <c r="B58" s="473"/>
      <c r="C58" s="466"/>
      <c r="D58" s="445"/>
      <c r="E58" s="446"/>
      <c r="F58" s="445"/>
    </row>
    <row r="59" spans="1:6" s="421" customFormat="1" ht="15.6">
      <c r="A59" s="456" t="s">
        <v>41</v>
      </c>
      <c r="B59" s="455" t="s">
        <v>39</v>
      </c>
      <c r="C59" s="454"/>
      <c r="D59" s="452"/>
      <c r="E59" s="453"/>
      <c r="F59" s="452"/>
    </row>
    <row r="60" spans="1:6" s="421" customFormat="1" ht="15">
      <c r="A60" s="451" t="s">
        <v>123</v>
      </c>
      <c r="B60" s="470" t="s">
        <v>317</v>
      </c>
      <c r="C60" s="447" t="s">
        <v>7</v>
      </c>
      <c r="D60" s="447">
        <v>0</v>
      </c>
      <c r="E60" s="446"/>
      <c r="F60" s="445">
        <f>D60*E60</f>
        <v>0</v>
      </c>
    </row>
    <row r="61" spans="1:6" s="421" customFormat="1" ht="17.399999999999999">
      <c r="A61" s="469"/>
      <c r="B61" s="443" t="s">
        <v>40</v>
      </c>
      <c r="C61" s="468"/>
      <c r="D61" s="441"/>
      <c r="E61" s="440"/>
      <c r="F61" s="439">
        <f>SUM(F60:F60)</f>
        <v>0</v>
      </c>
    </row>
    <row r="62" spans="1:6" s="421" customFormat="1" ht="15.6">
      <c r="A62" s="469"/>
      <c r="B62" s="473"/>
      <c r="C62" s="466"/>
      <c r="D62" s="445"/>
      <c r="E62" s="446"/>
      <c r="F62" s="445"/>
    </row>
    <row r="63" spans="1:6" s="421" customFormat="1" ht="15.6">
      <c r="A63" s="456" t="s">
        <v>47</v>
      </c>
      <c r="B63" s="455" t="s">
        <v>42</v>
      </c>
      <c r="C63" s="454"/>
      <c r="D63" s="452"/>
      <c r="E63" s="453"/>
      <c r="F63" s="452"/>
    </row>
    <row r="64" spans="1:6" s="421" customFormat="1" ht="15">
      <c r="A64" s="451" t="s">
        <v>49</v>
      </c>
      <c r="B64" s="470" t="s">
        <v>43</v>
      </c>
      <c r="C64" s="466"/>
      <c r="D64" s="445"/>
      <c r="E64" s="446"/>
      <c r="F64" s="445"/>
    </row>
    <row r="65" spans="1:6" s="421" customFormat="1" ht="15.6">
      <c r="A65" s="451" t="s">
        <v>50</v>
      </c>
      <c r="B65" s="450" t="s">
        <v>44</v>
      </c>
      <c r="C65" s="466"/>
      <c r="D65" s="445"/>
      <c r="E65" s="446"/>
      <c r="F65" s="445"/>
    </row>
    <row r="66" spans="1:6" s="421" customFormat="1" ht="15">
      <c r="A66" s="451" t="s">
        <v>318</v>
      </c>
      <c r="B66" s="448" t="s">
        <v>671</v>
      </c>
      <c r="C66" s="447" t="s">
        <v>4</v>
      </c>
      <c r="D66" s="447">
        <v>0</v>
      </c>
      <c r="E66" s="446"/>
      <c r="F66" s="445">
        <f>D66*E66</f>
        <v>0</v>
      </c>
    </row>
    <row r="67" spans="1:6" s="421" customFormat="1" ht="15.6">
      <c r="A67" s="451" t="s">
        <v>319</v>
      </c>
      <c r="B67" s="450" t="s">
        <v>45</v>
      </c>
      <c r="C67" s="474"/>
      <c r="D67" s="474"/>
      <c r="E67" s="446"/>
      <c r="F67" s="445"/>
    </row>
    <row r="68" spans="1:6" s="421" customFormat="1" ht="15">
      <c r="A68" s="451" t="s">
        <v>320</v>
      </c>
      <c r="B68" s="448" t="s">
        <v>672</v>
      </c>
      <c r="C68" s="447" t="s">
        <v>4</v>
      </c>
      <c r="D68" s="447">
        <f>22*0.4*0</f>
        <v>0</v>
      </c>
      <c r="E68" s="446"/>
      <c r="F68" s="445">
        <f>D68*E68</f>
        <v>0</v>
      </c>
    </row>
    <row r="69" spans="1:6" s="421" customFormat="1" ht="15.6">
      <c r="A69" s="451" t="s">
        <v>321</v>
      </c>
      <c r="B69" s="450" t="s">
        <v>640</v>
      </c>
      <c r="C69" s="447"/>
      <c r="D69" s="447"/>
      <c r="E69" s="446"/>
      <c r="F69" s="445"/>
    </row>
    <row r="70" spans="1:6" s="421" customFormat="1" ht="15">
      <c r="A70" s="451" t="s">
        <v>323</v>
      </c>
      <c r="B70" s="448" t="s">
        <v>324</v>
      </c>
      <c r="C70" s="447" t="s">
        <v>9</v>
      </c>
      <c r="D70" s="447"/>
      <c r="E70" s="446"/>
      <c r="F70" s="445">
        <f>D70*E70</f>
        <v>0</v>
      </c>
    </row>
    <row r="71" spans="1:6" s="421" customFormat="1" ht="17.25" customHeight="1">
      <c r="A71" s="469"/>
      <c r="B71" s="443" t="s">
        <v>46</v>
      </c>
      <c r="C71" s="468"/>
      <c r="D71" s="441"/>
      <c r="E71" s="440"/>
      <c r="F71" s="439">
        <f>SUM(F66:F70)</f>
        <v>0</v>
      </c>
    </row>
    <row r="72" spans="1:6" s="472" customFormat="1" ht="17.25" customHeight="1">
      <c r="A72" s="469"/>
      <c r="B72" s="473"/>
      <c r="C72" s="466"/>
      <c r="D72" s="445"/>
      <c r="E72" s="446"/>
      <c r="F72" s="445"/>
    </row>
    <row r="73" spans="1:6" s="421" customFormat="1" ht="15.6">
      <c r="A73" s="456" t="s">
        <v>53</v>
      </c>
      <c r="B73" s="455" t="s">
        <v>48</v>
      </c>
      <c r="C73" s="454"/>
      <c r="D73" s="452"/>
      <c r="E73" s="453"/>
      <c r="F73" s="452"/>
    </row>
    <row r="74" spans="1:6" s="421" customFormat="1" ht="15.6">
      <c r="A74" s="449" t="s">
        <v>325</v>
      </c>
      <c r="B74" s="471" t="s">
        <v>51</v>
      </c>
      <c r="C74" s="447"/>
      <c r="D74" s="447"/>
      <c r="E74" s="446"/>
      <c r="F74" s="445"/>
    </row>
    <row r="75" spans="1:6" s="421" customFormat="1" ht="15">
      <c r="A75" s="449" t="s">
        <v>326</v>
      </c>
      <c r="B75" s="470" t="s">
        <v>639</v>
      </c>
      <c r="C75" s="447" t="s">
        <v>4</v>
      </c>
      <c r="D75" s="447">
        <v>0.34</v>
      </c>
      <c r="E75" s="446"/>
      <c r="F75" s="445">
        <f>D75*E75</f>
        <v>0</v>
      </c>
    </row>
    <row r="76" spans="1:6" s="421" customFormat="1" ht="18" customHeight="1">
      <c r="A76" s="469"/>
      <c r="B76" s="443" t="s">
        <v>52</v>
      </c>
      <c r="C76" s="468"/>
      <c r="D76" s="441"/>
      <c r="E76" s="440"/>
      <c r="F76" s="439">
        <f>SUM(F75)</f>
        <v>0</v>
      </c>
    </row>
    <row r="77" spans="1:6" s="421" customFormat="1" ht="10.95" customHeight="1">
      <c r="A77" s="451"/>
      <c r="B77" s="467"/>
      <c r="C77" s="466"/>
      <c r="D77" s="445"/>
      <c r="E77" s="446"/>
      <c r="F77" s="445"/>
    </row>
    <row r="78" spans="1:6" s="421" customFormat="1" ht="15.6">
      <c r="A78" s="456" t="s">
        <v>72</v>
      </c>
      <c r="B78" s="455" t="s">
        <v>55</v>
      </c>
      <c r="C78" s="454"/>
      <c r="D78" s="452"/>
      <c r="E78" s="453"/>
      <c r="F78" s="452"/>
    </row>
    <row r="79" spans="1:6" s="421" customFormat="1" ht="15.6">
      <c r="A79" s="451" t="s">
        <v>132</v>
      </c>
      <c r="B79" s="450" t="s">
        <v>638</v>
      </c>
      <c r="C79" s="466"/>
      <c r="D79" s="445"/>
      <c r="E79" s="446"/>
      <c r="F79" s="445"/>
    </row>
    <row r="80" spans="1:6" s="421" customFormat="1" ht="15">
      <c r="A80" s="451" t="s">
        <v>163</v>
      </c>
      <c r="B80" s="448" t="s">
        <v>327</v>
      </c>
      <c r="C80" s="466"/>
      <c r="D80" s="445"/>
      <c r="E80" s="446"/>
      <c r="F80" s="445"/>
    </row>
    <row r="81" spans="1:6" s="421" customFormat="1" ht="15">
      <c r="A81" s="451"/>
      <c r="B81" s="448" t="s">
        <v>328</v>
      </c>
      <c r="C81" s="447" t="s">
        <v>9</v>
      </c>
      <c r="D81" s="447">
        <v>8</v>
      </c>
      <c r="E81" s="446"/>
      <c r="F81" s="445">
        <f>D81*E81</f>
        <v>0</v>
      </c>
    </row>
    <row r="82" spans="1:6" s="421" customFormat="1" ht="15">
      <c r="A82" s="451"/>
      <c r="B82" s="448" t="s">
        <v>637</v>
      </c>
      <c r="C82" s="447" t="s">
        <v>9</v>
      </c>
      <c r="D82" s="447">
        <v>4</v>
      </c>
      <c r="E82" s="446"/>
      <c r="F82" s="445">
        <f>D82*E82</f>
        <v>0</v>
      </c>
    </row>
    <row r="83" spans="1:6" s="421" customFormat="1" ht="17.399999999999999" customHeight="1">
      <c r="A83" s="444"/>
      <c r="B83" s="443" t="s">
        <v>56</v>
      </c>
      <c r="C83" s="442"/>
      <c r="D83" s="441"/>
      <c r="E83" s="440"/>
      <c r="F83" s="439">
        <f>SUM(F82:F82)</f>
        <v>0</v>
      </c>
    </row>
    <row r="84" spans="1:6" s="421" customFormat="1" ht="10.95" customHeight="1">
      <c r="A84" s="444"/>
      <c r="B84" s="457"/>
      <c r="C84" s="447"/>
      <c r="D84" s="445"/>
      <c r="E84" s="446"/>
      <c r="F84" s="445"/>
    </row>
    <row r="85" spans="1:6" s="421" customFormat="1" ht="15.6">
      <c r="A85" s="456" t="s">
        <v>54</v>
      </c>
      <c r="B85" s="455" t="s">
        <v>329</v>
      </c>
      <c r="C85" s="454"/>
      <c r="D85" s="452"/>
      <c r="E85" s="453"/>
      <c r="F85" s="452"/>
    </row>
    <row r="86" spans="1:6" s="421" customFormat="1" ht="15.6">
      <c r="A86" s="451" t="s">
        <v>330</v>
      </c>
      <c r="B86" s="450" t="s">
        <v>331</v>
      </c>
      <c r="C86" s="447"/>
      <c r="D86" s="445"/>
      <c r="E86" s="446"/>
      <c r="F86" s="445"/>
    </row>
    <row r="87" spans="1:6" s="421" customFormat="1" ht="15.6">
      <c r="A87" s="451" t="s">
        <v>332</v>
      </c>
      <c r="B87" s="450" t="s">
        <v>333</v>
      </c>
      <c r="C87" s="447"/>
      <c r="D87" s="447"/>
      <c r="E87" s="446"/>
      <c r="F87" s="445"/>
    </row>
    <row r="88" spans="1:6" s="421" customFormat="1" ht="18" customHeight="1">
      <c r="A88" s="451" t="s">
        <v>334</v>
      </c>
      <c r="B88" s="448" t="s">
        <v>636</v>
      </c>
      <c r="C88" s="447" t="s">
        <v>9</v>
      </c>
      <c r="D88" s="447">
        <v>8</v>
      </c>
      <c r="E88" s="446"/>
      <c r="F88" s="445">
        <f>D88*E88</f>
        <v>0</v>
      </c>
    </row>
    <row r="89" spans="1:6" s="421" customFormat="1" ht="30" customHeight="1">
      <c r="A89" s="451" t="s">
        <v>335</v>
      </c>
      <c r="B89" s="465" t="s">
        <v>635</v>
      </c>
      <c r="C89" s="447" t="s">
        <v>633</v>
      </c>
      <c r="D89" s="447">
        <v>1</v>
      </c>
      <c r="E89" s="446"/>
      <c r="F89" s="445">
        <f>D89*E89</f>
        <v>0</v>
      </c>
    </row>
    <row r="90" spans="1:6" s="421" customFormat="1" ht="21" customHeight="1">
      <c r="A90" s="451" t="s">
        <v>335</v>
      </c>
      <c r="B90" s="465" t="s">
        <v>634</v>
      </c>
      <c r="C90" s="447" t="s">
        <v>633</v>
      </c>
      <c r="D90" s="447">
        <v>3</v>
      </c>
      <c r="E90" s="446"/>
      <c r="F90" s="445">
        <f>D90*E90</f>
        <v>0</v>
      </c>
    </row>
    <row r="91" spans="1:6" s="421" customFormat="1" ht="17.399999999999999" customHeight="1">
      <c r="A91" s="444"/>
      <c r="B91" s="443" t="s">
        <v>336</v>
      </c>
      <c r="C91" s="442"/>
      <c r="D91" s="441"/>
      <c r="E91" s="440"/>
      <c r="F91" s="439">
        <f>SUM(F87:F90)</f>
        <v>0</v>
      </c>
    </row>
    <row r="92" spans="1:6" s="458" customFormat="1" ht="10.95" customHeight="1">
      <c r="A92" s="464"/>
      <c r="B92" s="463"/>
      <c r="C92" s="462"/>
      <c r="D92" s="461"/>
      <c r="E92" s="460"/>
      <c r="F92" s="459"/>
    </row>
    <row r="93" spans="1:6" s="421" customFormat="1" ht="15.6">
      <c r="A93" s="456" t="s">
        <v>73</v>
      </c>
      <c r="B93" s="455" t="s">
        <v>65</v>
      </c>
      <c r="C93" s="454"/>
      <c r="D93" s="452"/>
      <c r="E93" s="453"/>
      <c r="F93" s="452"/>
    </row>
    <row r="94" spans="1:6" s="421" customFormat="1" ht="15.6">
      <c r="A94" s="451" t="s">
        <v>144</v>
      </c>
      <c r="B94" s="450" t="s">
        <v>632</v>
      </c>
      <c r="C94" s="447"/>
      <c r="D94" s="447"/>
      <c r="E94" s="446"/>
      <c r="F94" s="445"/>
    </row>
    <row r="95" spans="1:6" s="421" customFormat="1" ht="18" customHeight="1">
      <c r="A95" s="451" t="s">
        <v>165</v>
      </c>
      <c r="B95" s="448" t="s">
        <v>631</v>
      </c>
      <c r="C95" s="447" t="s">
        <v>4</v>
      </c>
      <c r="D95" s="447">
        <f>10*3</f>
        <v>30</v>
      </c>
      <c r="E95" s="446"/>
      <c r="F95" s="445">
        <f>D95*E95</f>
        <v>0</v>
      </c>
    </row>
    <row r="96" spans="1:6" s="421" customFormat="1" ht="18" customHeight="1">
      <c r="A96" s="451" t="s">
        <v>337</v>
      </c>
      <c r="B96" s="448" t="s">
        <v>630</v>
      </c>
      <c r="C96" s="447" t="s">
        <v>4</v>
      </c>
      <c r="D96" s="447">
        <f>10*5*1</f>
        <v>50</v>
      </c>
      <c r="E96" s="446"/>
      <c r="F96" s="445">
        <f>D96*E96</f>
        <v>0</v>
      </c>
    </row>
    <row r="97" spans="1:6" s="421" customFormat="1" ht="16.95" customHeight="1">
      <c r="A97" s="444"/>
      <c r="B97" s="443" t="s">
        <v>67</v>
      </c>
      <c r="C97" s="442"/>
      <c r="D97" s="441"/>
      <c r="E97" s="440"/>
      <c r="F97" s="439">
        <f>SUM(F94:F96)</f>
        <v>0</v>
      </c>
    </row>
    <row r="98" spans="1:6" s="421" customFormat="1" ht="15">
      <c r="A98" s="444"/>
      <c r="B98" s="457"/>
      <c r="C98" s="447"/>
      <c r="D98" s="445"/>
      <c r="E98" s="446"/>
      <c r="F98" s="445"/>
    </row>
    <row r="99" spans="1:6" s="421" customFormat="1" ht="15.6">
      <c r="A99" s="456" t="s">
        <v>74</v>
      </c>
      <c r="B99" s="455" t="s">
        <v>11</v>
      </c>
      <c r="C99" s="454"/>
      <c r="D99" s="452"/>
      <c r="E99" s="453"/>
      <c r="F99" s="452"/>
    </row>
    <row r="100" spans="1:6" s="421" customFormat="1" ht="17.25" customHeight="1">
      <c r="A100" s="451" t="s">
        <v>136</v>
      </c>
      <c r="B100" s="450" t="s">
        <v>62</v>
      </c>
      <c r="C100" s="447"/>
      <c r="D100" s="447"/>
      <c r="E100" s="446"/>
      <c r="F100" s="445"/>
    </row>
    <row r="101" spans="1:6" s="421" customFormat="1" ht="15">
      <c r="A101" s="451" t="s">
        <v>166</v>
      </c>
      <c r="B101" s="448" t="s">
        <v>629</v>
      </c>
      <c r="C101" s="447" t="s">
        <v>4</v>
      </c>
      <c r="D101" s="447">
        <f>8*2*2.8+1.5*2*2.8</f>
        <v>53.199999999999996</v>
      </c>
      <c r="E101" s="446"/>
      <c r="F101" s="445">
        <f>D101*E101</f>
        <v>0</v>
      </c>
    </row>
    <row r="102" spans="1:6" s="421" customFormat="1" ht="15">
      <c r="A102" s="451" t="s">
        <v>167</v>
      </c>
      <c r="B102" s="448" t="s">
        <v>628</v>
      </c>
      <c r="C102" s="447" t="s">
        <v>4</v>
      </c>
      <c r="D102" s="447">
        <f>2*10*1</f>
        <v>20</v>
      </c>
      <c r="E102" s="446"/>
      <c r="F102" s="445">
        <f>D102*E102</f>
        <v>0</v>
      </c>
    </row>
    <row r="103" spans="1:6" s="421" customFormat="1" ht="15.6">
      <c r="A103" s="451" t="s">
        <v>168</v>
      </c>
      <c r="B103" s="450" t="s">
        <v>63</v>
      </c>
      <c r="C103" s="447"/>
      <c r="D103" s="447"/>
      <c r="E103" s="446"/>
      <c r="F103" s="445"/>
    </row>
    <row r="104" spans="1:6" s="421" customFormat="1" ht="15">
      <c r="A104" s="451" t="s">
        <v>169</v>
      </c>
      <c r="B104" s="448" t="s">
        <v>627</v>
      </c>
      <c r="C104" s="447" t="s">
        <v>4</v>
      </c>
      <c r="D104" s="447">
        <f>2*10*1.8+14*1.5*1.8</f>
        <v>73.800000000000011</v>
      </c>
      <c r="E104" s="446"/>
      <c r="F104" s="445">
        <f>D104*E104</f>
        <v>0</v>
      </c>
    </row>
    <row r="105" spans="1:6" s="421" customFormat="1" ht="15.6">
      <c r="A105" s="449" t="s">
        <v>170</v>
      </c>
      <c r="B105" s="450" t="s">
        <v>626</v>
      </c>
      <c r="C105" s="447"/>
      <c r="D105" s="447"/>
      <c r="E105" s="446"/>
      <c r="F105" s="445"/>
    </row>
    <row r="106" spans="1:6" s="421" customFormat="1" ht="15">
      <c r="A106" s="449" t="s">
        <v>171</v>
      </c>
      <c r="B106" s="448" t="s">
        <v>338</v>
      </c>
      <c r="C106" s="447" t="s">
        <v>4</v>
      </c>
      <c r="D106" s="447">
        <f>8*1.8*0.6*2</f>
        <v>17.28</v>
      </c>
      <c r="E106" s="446"/>
      <c r="F106" s="445">
        <f>D106*E106</f>
        <v>0</v>
      </c>
    </row>
    <row r="107" spans="1:6" s="421" customFormat="1" ht="16.95" customHeight="1">
      <c r="A107" s="444"/>
      <c r="B107" s="443" t="s">
        <v>58</v>
      </c>
      <c r="C107" s="442"/>
      <c r="D107" s="441"/>
      <c r="E107" s="440"/>
      <c r="F107" s="439">
        <f>SUM(F101:F106)</f>
        <v>0</v>
      </c>
    </row>
    <row r="108" spans="1:6" s="421" customFormat="1" ht="15">
      <c r="A108" s="438"/>
      <c r="B108" s="436"/>
      <c r="C108" s="436"/>
      <c r="D108" s="436"/>
      <c r="E108" s="437"/>
      <c r="F108" s="436"/>
    </row>
    <row r="109" spans="1:6" s="421" customFormat="1" ht="39" customHeight="1">
      <c r="A109" s="542" t="s">
        <v>647</v>
      </c>
      <c r="B109" s="543"/>
      <c r="C109" s="544"/>
      <c r="D109" s="435"/>
      <c r="E109" s="434"/>
      <c r="F109" s="433">
        <f>F107+F91+F83+F76+F71+F57+F53+F12+F97+F61</f>
        <v>0</v>
      </c>
    </row>
    <row r="110" spans="1:6" customFormat="1">
      <c r="E110" s="304"/>
    </row>
    <row r="111" spans="1:6" s="2" customFormat="1" ht="20.25" customHeight="1">
      <c r="A111" s="545" t="s">
        <v>379</v>
      </c>
      <c r="B111" s="546"/>
      <c r="C111" s="547"/>
      <c r="D111" s="305">
        <v>0.15</v>
      </c>
      <c r="E111" s="303"/>
      <c r="F111" s="302">
        <f>F109*D111</f>
        <v>0</v>
      </c>
    </row>
    <row r="112" spans="1:6" s="421" customFormat="1" ht="18" thickBot="1">
      <c r="A112" s="423"/>
      <c r="B112" s="423"/>
      <c r="D112" s="422"/>
      <c r="E112" s="432"/>
      <c r="F112" s="431"/>
    </row>
    <row r="113" spans="1:6" s="424" customFormat="1" ht="18" thickBot="1">
      <c r="A113" s="430"/>
      <c r="B113" s="429" t="s">
        <v>625</v>
      </c>
      <c r="C113" s="428"/>
      <c r="D113" s="427"/>
      <c r="E113" s="426"/>
      <c r="F113" s="425">
        <f>F109+F111</f>
        <v>0</v>
      </c>
    </row>
    <row r="114" spans="1:6" s="421" customFormat="1" ht="15">
      <c r="A114" s="423"/>
      <c r="B114" s="423"/>
      <c r="D114" s="422"/>
      <c r="E114" s="422"/>
      <c r="F114" s="422"/>
    </row>
  </sheetData>
  <sheetProtection selectLockedCells="1"/>
  <mergeCells count="3">
    <mergeCell ref="A3:F3"/>
    <mergeCell ref="A109:C109"/>
    <mergeCell ref="A111:C111"/>
  </mergeCells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9"/>
  <sheetViews>
    <sheetView showGridLines="0" view="pageBreakPreview" topLeftCell="A6" zoomScale="90" zoomScaleSheetLayoutView="90" workbookViewId="0">
      <selection activeCell="I18" sqref="I18"/>
    </sheetView>
  </sheetViews>
  <sheetFormatPr baseColWidth="10" defaultColWidth="11.44140625" defaultRowHeight="15"/>
  <cols>
    <col min="1" max="1" width="8.5546875" style="496" customWidth="1"/>
    <col min="2" max="2" width="61.21875" style="232" bestFit="1" customWidth="1"/>
    <col min="3" max="3" width="8.5546875" style="2" customWidth="1"/>
    <col min="4" max="4" width="10.5546875" style="3" customWidth="1"/>
    <col min="5" max="5" width="11.21875" style="3" customWidth="1"/>
    <col min="6" max="6" width="12.77734375" style="3" customWidth="1"/>
    <col min="7" max="16384" width="11.44140625" style="2"/>
  </cols>
  <sheetData>
    <row r="2" spans="1:6">
      <c r="A2" s="516"/>
      <c r="B2" s="1"/>
    </row>
    <row r="3" spans="1:6">
      <c r="A3" s="516"/>
      <c r="B3" s="1"/>
    </row>
    <row r="4" spans="1:6" ht="24.6" customHeight="1">
      <c r="A4" s="516"/>
      <c r="B4" s="1"/>
    </row>
    <row r="5" spans="1:6" ht="40.950000000000003" customHeight="1" thickBot="1">
      <c r="A5" s="548" t="s">
        <v>655</v>
      </c>
      <c r="B5" s="549"/>
      <c r="C5" s="549"/>
      <c r="D5" s="549"/>
      <c r="E5" s="549"/>
      <c r="F5" s="550"/>
    </row>
    <row r="6" spans="1:6" s="288" customFormat="1" ht="42" thickTop="1">
      <c r="A6" s="515" t="s">
        <v>12</v>
      </c>
      <c r="B6" s="514" t="s">
        <v>8</v>
      </c>
      <c r="C6" s="513" t="s">
        <v>0</v>
      </c>
      <c r="D6" s="513" t="s">
        <v>2</v>
      </c>
      <c r="E6" s="513" t="s">
        <v>3</v>
      </c>
      <c r="F6" s="513" t="s">
        <v>1</v>
      </c>
    </row>
    <row r="7" spans="1:6">
      <c r="A7" s="301"/>
      <c r="B7" s="289"/>
      <c r="C7" s="290"/>
      <c r="D7" s="291"/>
      <c r="E7" s="291"/>
      <c r="F7" s="291"/>
    </row>
    <row r="8" spans="1:6" ht="18" customHeight="1">
      <c r="A8" s="512" t="s">
        <v>13</v>
      </c>
      <c r="B8" s="292" t="s">
        <v>654</v>
      </c>
      <c r="C8" s="293"/>
      <c r="D8" s="294"/>
      <c r="E8" s="294"/>
      <c r="F8" s="294"/>
    </row>
    <row r="9" spans="1:6" ht="31.2" customHeight="1">
      <c r="A9" s="509">
        <v>1</v>
      </c>
      <c r="B9" s="511" t="s">
        <v>657</v>
      </c>
      <c r="C9" s="300"/>
      <c r="D9" s="300"/>
      <c r="E9" s="296"/>
      <c r="F9" s="296"/>
    </row>
    <row r="10" spans="1:6" ht="18" customHeight="1">
      <c r="A10" s="509">
        <v>2</v>
      </c>
      <c r="B10" s="510" t="s">
        <v>658</v>
      </c>
      <c r="C10" s="300" t="s">
        <v>10</v>
      </c>
      <c r="D10" s="300">
        <f>20*15*0.2</f>
        <v>60</v>
      </c>
      <c r="E10" s="296"/>
      <c r="F10" s="296">
        <f>D10*E10</f>
        <v>0</v>
      </c>
    </row>
    <row r="11" spans="1:6" ht="18" customHeight="1">
      <c r="A11" s="509">
        <v>3</v>
      </c>
      <c r="B11" s="510" t="s">
        <v>653</v>
      </c>
      <c r="C11" s="300" t="s">
        <v>9</v>
      </c>
      <c r="D11" s="300">
        <v>120</v>
      </c>
      <c r="E11" s="296"/>
      <c r="F11" s="296">
        <f>D11*E11</f>
        <v>0</v>
      </c>
    </row>
    <row r="12" spans="1:6" ht="18" customHeight="1">
      <c r="A12" s="509">
        <v>4</v>
      </c>
      <c r="B12" s="508" t="s">
        <v>656</v>
      </c>
      <c r="C12" s="295" t="s">
        <v>182</v>
      </c>
      <c r="D12" s="295">
        <v>1</v>
      </c>
      <c r="E12" s="291"/>
      <c r="F12" s="296">
        <f>D12*E12</f>
        <v>0</v>
      </c>
    </row>
    <row r="13" spans="1:6" ht="18" customHeight="1">
      <c r="A13" s="509">
        <v>5</v>
      </c>
      <c r="B13" s="508" t="s">
        <v>652</v>
      </c>
      <c r="C13" s="295" t="s">
        <v>10</v>
      </c>
      <c r="D13" s="295">
        <f>20*15*0.4</f>
        <v>120</v>
      </c>
      <c r="E13" s="291"/>
      <c r="F13" s="296">
        <f>D13*E13</f>
        <v>0</v>
      </c>
    </row>
    <row r="14" spans="1:6" ht="11.55" customHeight="1">
      <c r="A14" s="507"/>
      <c r="B14" s="506"/>
      <c r="C14" s="505"/>
      <c r="D14" s="504"/>
      <c r="E14" s="504"/>
      <c r="F14" s="504"/>
    </row>
    <row r="15" spans="1:6" ht="17.399999999999999">
      <c r="A15" s="301"/>
      <c r="B15" s="503" t="s">
        <v>651</v>
      </c>
      <c r="C15" s="297"/>
      <c r="D15" s="298"/>
      <c r="E15" s="298"/>
      <c r="F15" s="299">
        <f>SUM(F9:F13)</f>
        <v>0</v>
      </c>
    </row>
    <row r="17" spans="1:6" s="497" customFormat="1" ht="15.6">
      <c r="A17" s="501"/>
      <c r="B17" s="500" t="s">
        <v>650</v>
      </c>
      <c r="D17" s="499"/>
      <c r="E17" s="499"/>
      <c r="F17" s="498">
        <v>1</v>
      </c>
    </row>
    <row r="18" spans="1:6" s="497" customFormat="1" ht="15.6">
      <c r="A18" s="501"/>
      <c r="B18" s="502"/>
      <c r="D18" s="499"/>
      <c r="E18" s="499"/>
      <c r="F18" s="499"/>
    </row>
    <row r="19" spans="1:6" s="497" customFormat="1" ht="15.6">
      <c r="A19" s="501"/>
      <c r="B19" s="500" t="s">
        <v>649</v>
      </c>
      <c r="D19" s="499"/>
      <c r="E19" s="499"/>
      <c r="F19" s="498">
        <f>F15*F17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19"/>
  <sheetViews>
    <sheetView tabSelected="1" view="pageBreakPreview" zoomScale="90" zoomScaleNormal="100" zoomScaleSheetLayoutView="90" workbookViewId="0">
      <selection activeCell="C10" sqref="C10"/>
    </sheetView>
  </sheetViews>
  <sheetFormatPr baseColWidth="10" defaultRowHeight="14.4"/>
  <cols>
    <col min="1" max="1" width="68.77734375" style="231" customWidth="1"/>
    <col min="2" max="2" width="23.77734375" customWidth="1"/>
  </cols>
  <sheetData>
    <row r="1" spans="1:2" ht="88.95" customHeight="1" thickBot="1">
      <c r="A1" s="551"/>
      <c r="B1" s="551"/>
    </row>
    <row r="2" spans="1:2" ht="4.95" hidden="1" customHeight="1" thickBot="1"/>
    <row r="3" spans="1:2" s="29" customFormat="1" ht="25.5" customHeight="1">
      <c r="A3" s="552" t="s">
        <v>615</v>
      </c>
      <c r="B3" s="553"/>
    </row>
    <row r="4" spans="1:2" s="29" customFormat="1" ht="12.75" customHeight="1">
      <c r="A4" s="255"/>
      <c r="B4" s="256"/>
    </row>
    <row r="5" spans="1:2" s="29" customFormat="1" ht="15">
      <c r="A5" s="106"/>
      <c r="B5" s="260"/>
    </row>
    <row r="6" spans="1:2" s="29" customFormat="1" ht="27.6" customHeight="1">
      <c r="A6" s="259" t="s">
        <v>616</v>
      </c>
      <c r="B6" s="262">
        <f>'REHA EPP MEDIBLY 1'!F394</f>
        <v>0</v>
      </c>
    </row>
    <row r="7" spans="1:2" s="29" customFormat="1" ht="15">
      <c r="A7" s="106"/>
      <c r="B7" s="260"/>
    </row>
    <row r="8" spans="1:2" s="29" customFormat="1" ht="27.6" customHeight="1">
      <c r="A8" s="259" t="s">
        <v>280</v>
      </c>
      <c r="B8" s="262">
        <f>'DQE 3 cls + bureau '!F123</f>
        <v>0</v>
      </c>
    </row>
    <row r="9" spans="1:2" s="29" customFormat="1" ht="24" customHeight="1">
      <c r="A9" s="106"/>
      <c r="B9" s="261"/>
    </row>
    <row r="10" spans="1:2" s="29" customFormat="1" ht="27.6" customHeight="1">
      <c r="A10" s="259" t="s">
        <v>368</v>
      </c>
      <c r="B10" s="262">
        <f>'DQE 3 cls'!F114</f>
        <v>0</v>
      </c>
    </row>
    <row r="11" spans="1:2" s="29" customFormat="1" ht="24" customHeight="1">
      <c r="A11" s="106"/>
      <c r="B11" s="261"/>
    </row>
    <row r="12" spans="1:2" s="29" customFormat="1" ht="27.6" customHeight="1">
      <c r="A12" s="107" t="s">
        <v>281</v>
      </c>
      <c r="B12" s="108">
        <f>'DQE cantine'!E134</f>
        <v>0</v>
      </c>
    </row>
    <row r="13" spans="1:2" s="29" customFormat="1" ht="18.600000000000001" customHeight="1">
      <c r="A13" s="110"/>
      <c r="B13" s="109"/>
    </row>
    <row r="14" spans="1:2" s="29" customFormat="1" ht="27.6" customHeight="1">
      <c r="A14" s="107" t="s">
        <v>648</v>
      </c>
      <c r="B14" s="108">
        <f>'Achèvement latrine 8 cabines'!F113</f>
        <v>0</v>
      </c>
    </row>
    <row r="15" spans="1:2" s="29" customFormat="1" ht="18.600000000000001" customHeight="1">
      <c r="A15" s="110"/>
      <c r="B15" s="109"/>
    </row>
    <row r="16" spans="1:2" s="29" customFormat="1" ht="27.6" customHeight="1">
      <c r="A16" s="107" t="s">
        <v>659</v>
      </c>
      <c r="B16" s="108">
        <f>' aménagement aire de jeux'!F19</f>
        <v>0</v>
      </c>
    </row>
    <row r="17" spans="1:2" s="29" customFormat="1" ht="18.600000000000001" customHeight="1" thickBot="1">
      <c r="A17" s="110"/>
      <c r="B17" s="109"/>
    </row>
    <row r="18" spans="1:2" s="29" customFormat="1" ht="25.2" customHeight="1" thickBot="1">
      <c r="A18" s="257" t="s">
        <v>356</v>
      </c>
      <c r="B18" s="258">
        <f>B6+B8+B10+B12+B14+B16</f>
        <v>0</v>
      </c>
    </row>
    <row r="19" spans="1:2" s="29" customFormat="1" ht="15.6">
      <c r="A19" s="105"/>
      <c r="B19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REHA EPP MEDIBLY 1</vt:lpstr>
      <vt:lpstr>DQE 3 cls + bureau </vt:lpstr>
      <vt:lpstr>DQE 3 cls</vt:lpstr>
      <vt:lpstr>DQE cantine</vt:lpstr>
      <vt:lpstr>Achèvement latrine 8 cabines</vt:lpstr>
      <vt:lpstr> aménagement aire de jeux</vt:lpstr>
      <vt:lpstr>Recap</vt:lpstr>
      <vt:lpstr>' aménagement aire de jeux'!Zone_d_impression</vt:lpstr>
      <vt:lpstr>'Achèvement latrine 8 cabines'!Zone_d_impression</vt:lpstr>
      <vt:lpstr>'DQE 3 cls'!Zone_d_impression</vt:lpstr>
      <vt:lpstr>'DQE 3 cls + bureau '!Zone_d_impression</vt:lpstr>
      <vt:lpstr>'DQE cantine'!Zone_d_impression</vt:lpstr>
      <vt:lpstr>Recap!Zone_d_impression</vt:lpstr>
      <vt:lpstr>'REHA EPP MEDIBLY 1'!Zone_d_impression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Lasme Jean Francois Michel ESSO</cp:lastModifiedBy>
  <cp:lastPrinted>2024-12-12T18:39:48Z</cp:lastPrinted>
  <dcterms:created xsi:type="dcterms:W3CDTF">2007-12-03T22:12:12Z</dcterms:created>
  <dcterms:modified xsi:type="dcterms:W3CDTF">2024-12-17T19:08:26Z</dcterms:modified>
</cp:coreProperties>
</file>