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lcocoainitiative-my.sharepoint.com/personal/k_loukou_cocoainitiative_org/Documents/Documents/loukou/ICI/DAO/HSY SCHOOL/2025/DAO VERSION ESSO/"/>
    </mc:Choice>
  </mc:AlternateContent>
  <xr:revisionPtr revIDLastSave="17" documentId="8_{AFE09824-EAC9-4978-A93B-3502E5F8252D}" xr6:coauthVersionLast="47" xr6:coauthVersionMax="47" xr10:uidLastSave="{0DDDCDB0-0635-4C33-A516-9C62E7EE866A}"/>
  <bookViews>
    <workbookView xWindow="-110" yWindow="-110" windowWidth="19420" windowHeight="10300" tabRatio="961" firstSheet="1" activeTab="7" xr2:uid="{00000000-000D-0000-FFFF-FFFF00000000}"/>
  </bookViews>
  <sheets>
    <sheet name="REHA GS DJIROUZON" sheetId="48" r:id="rId1"/>
    <sheet name="DQE 3 cls + bureau " sheetId="36" r:id="rId2"/>
    <sheet name="DQE 3 cls" sheetId="40" r:id="rId3"/>
    <sheet name="DQE cantine" sheetId="37" r:id="rId4"/>
    <sheet name="DQE latrine 3 blocs 2 cabines " sheetId="42" r:id="rId5"/>
    <sheet name="DQE Forage à énergie solaire" sheetId="49" r:id="rId6"/>
    <sheet name=" aménagement aire de jeux" sheetId="47" r:id="rId7"/>
    <sheet name="Recap" sheetId="39" r:id="rId8"/>
  </sheets>
  <definedNames>
    <definedName name="capinit" localSheetId="5">#REF!</definedName>
    <definedName name="capinit">#REF!</definedName>
    <definedName name="Cf" localSheetId="5">#REF!</definedName>
    <definedName name="Cf">#REF!</definedName>
    <definedName name="cgp" localSheetId="5">#REF!</definedName>
    <definedName name="cgp">#REF!</definedName>
    <definedName name="coeff_mult">#REF!</definedName>
    <definedName name="dos.BP">#REF!</definedName>
    <definedName name="Dos.CH">#REF!</definedName>
    <definedName name="Dos.dallage">#REF!</definedName>
    <definedName name="Dos.DP">#REF!</definedName>
    <definedName name="Dos.LT">#REF!</definedName>
    <definedName name="Dos.Pot">#REF!</definedName>
    <definedName name="Dos.Pout">#REF!</definedName>
    <definedName name="Dos.Raid">#REF!</definedName>
    <definedName name="DOS.SEMFIL">#REF!</definedName>
    <definedName name="DOS.SEMISOL">#REF!</definedName>
    <definedName name="EI">#REF!</definedName>
    <definedName name="épr.BP">#REF!</definedName>
    <definedName name="épr.dallage">#REF!</definedName>
    <definedName name="épr.enduit">#REF!</definedName>
    <definedName name="Esp.pose">#REF!</definedName>
    <definedName name="EX">#REF!</definedName>
    <definedName name="Haut.CH">#REF!</definedName>
    <definedName name="HC">#REF!</definedName>
    <definedName name="HM">#REF!</definedName>
    <definedName name="Larg.Agg">#REF!</definedName>
    <definedName name="Larg.BP">#REF!</definedName>
    <definedName name="Larg.CH">#REF!</definedName>
    <definedName name="Larg.F">#REF!</definedName>
    <definedName name="LTC">#REF!</definedName>
    <definedName name="LTF">#REF!</definedName>
    <definedName name="LTM">#REF!</definedName>
    <definedName name="LTMP">#REF!</definedName>
    <definedName name="MAC">#REF!</definedName>
    <definedName name="Nbre.plac">#REF!</definedName>
    <definedName name="Nbre.pose">#REF!</definedName>
    <definedName name="Nombre">#REF!</definedName>
    <definedName name="nombremag">#REF!</definedName>
    <definedName name="PF">#REF!</definedName>
    <definedName name="sortes">#REF!</definedName>
    <definedName name="Surf.fen">#REF!</definedName>
    <definedName name="Surf.Loc">#REF!</definedName>
    <definedName name="Surf.plac">#REF!</definedName>
    <definedName name="Surf.plaf">#REF!</definedName>
    <definedName name="Surf.port">#REF!</definedName>
    <definedName name="Surf.vides">#REF!</definedName>
    <definedName name="Surf.VMP">#REF!</definedName>
    <definedName name="Type.Toiture">#REF!</definedName>
    <definedName name="types">#REF!</definedName>
    <definedName name="_xlnm.Print_Area" localSheetId="6">' aménagement aire de jeux'!$A$1:$F$17</definedName>
    <definedName name="_xlnm.Print_Area" localSheetId="2">'DQE 3 cls'!$A$1:$F$115</definedName>
    <definedName name="_xlnm.Print_Area" localSheetId="1">'DQE 3 cls + bureau '!$A$1:$F$126</definedName>
    <definedName name="_xlnm.Print_Area" localSheetId="3">'DQE cantine'!$A$1:$F$134</definedName>
    <definedName name="_xlnm.Print_Area" localSheetId="5">'DQE Forage à énergie solaire'!$A$1:$G$39</definedName>
    <definedName name="_xlnm.Print_Area" localSheetId="4">'DQE latrine 3 blocs 2 cabines '!$A$1:$F$115</definedName>
    <definedName name="_xlnm.Print_Area" localSheetId="7">Recap!$A$1:$B$21</definedName>
    <definedName name="_xlnm.Print_Area" localSheetId="0">'REHA GS DJIROUZON'!$A$1:$F$798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39" l="1"/>
  <c r="B16" i="39"/>
  <c r="G5" i="49"/>
  <c r="G7" i="49"/>
  <c r="G8" i="49"/>
  <c r="G10" i="49"/>
  <c r="G11" i="49"/>
  <c r="G12" i="49"/>
  <c r="G13" i="49"/>
  <c r="G15" i="49"/>
  <c r="G17" i="49"/>
  <c r="G19" i="49"/>
  <c r="G20" i="49"/>
  <c r="G21" i="49"/>
  <c r="G22" i="49"/>
  <c r="G23" i="49"/>
  <c r="G24" i="49"/>
  <c r="G25" i="49"/>
  <c r="G26" i="49"/>
  <c r="G28" i="49"/>
  <c r="E29" i="49"/>
  <c r="G29" i="49"/>
  <c r="E30" i="49"/>
  <c r="G30" i="49"/>
  <c r="E31" i="49"/>
  <c r="G31" i="49"/>
  <c r="E32" i="49"/>
  <c r="G32" i="49" s="1"/>
  <c r="G35" i="49" s="1"/>
  <c r="G33" i="49"/>
  <c r="E34" i="49"/>
  <c r="G34" i="49"/>
  <c r="G37" i="49" l="1"/>
  <c r="G39" i="49" s="1"/>
  <c r="B6" i="39" l="1"/>
  <c r="F796" i="48"/>
  <c r="F792" i="48"/>
  <c r="F599" i="48"/>
  <c r="F400" i="48"/>
  <c r="F201" i="48"/>
  <c r="F398" i="48"/>
  <c r="F756" i="48"/>
  <c r="F768" i="48" s="1"/>
  <c r="D730" i="48"/>
  <c r="D724" i="48"/>
  <c r="F724" i="48" s="1"/>
  <c r="D713" i="48"/>
  <c r="D659" i="48"/>
  <c r="D646" i="48"/>
  <c r="D647" i="48" s="1"/>
  <c r="F647" i="48" s="1"/>
  <c r="D644" i="48"/>
  <c r="F644" i="48" s="1"/>
  <c r="D642" i="48"/>
  <c r="F642" i="48" s="1"/>
  <c r="D641" i="48"/>
  <c r="F641" i="48" s="1"/>
  <c r="D611" i="48"/>
  <c r="F611" i="48" s="1"/>
  <c r="D596" i="48"/>
  <c r="F596" i="48" s="1"/>
  <c r="D595" i="48"/>
  <c r="F595" i="48" s="1"/>
  <c r="D593" i="48"/>
  <c r="F593" i="48" s="1"/>
  <c r="F590" i="48"/>
  <c r="D586" i="48"/>
  <c r="F586" i="48" s="1"/>
  <c r="D584" i="48"/>
  <c r="F584" i="48" s="1"/>
  <c r="D583" i="48"/>
  <c r="F583" i="48" s="1"/>
  <c r="F578" i="48"/>
  <c r="F577" i="48"/>
  <c r="F576" i="48"/>
  <c r="F575" i="48"/>
  <c r="F570" i="48"/>
  <c r="F569" i="48"/>
  <c r="F567" i="48"/>
  <c r="F564" i="48"/>
  <c r="F563" i="48"/>
  <c r="F561" i="48"/>
  <c r="F560" i="48"/>
  <c r="F559" i="48"/>
  <c r="D554" i="48"/>
  <c r="F554" i="48" s="1"/>
  <c r="F552" i="48"/>
  <c r="F551" i="48"/>
  <c r="D548" i="48"/>
  <c r="F548" i="48" s="1"/>
  <c r="D546" i="48"/>
  <c r="F546" i="48" s="1"/>
  <c r="F545" i="48"/>
  <c r="F542" i="48"/>
  <c r="F541" i="48"/>
  <c r="F540" i="48"/>
  <c r="F539" i="48"/>
  <c r="F535" i="48"/>
  <c r="F536" i="48" s="1"/>
  <c r="D531" i="48"/>
  <c r="F531" i="48" s="1"/>
  <c r="F529" i="48"/>
  <c r="D527" i="48"/>
  <c r="F527" i="48" s="1"/>
  <c r="F522" i="48"/>
  <c r="F521" i="48"/>
  <c r="F520" i="48"/>
  <c r="F519" i="48"/>
  <c r="F518" i="48"/>
  <c r="F517" i="48"/>
  <c r="D516" i="48"/>
  <c r="F516" i="48" s="1"/>
  <c r="F515" i="48"/>
  <c r="F510" i="48"/>
  <c r="F509" i="48"/>
  <c r="D508" i="48"/>
  <c r="F508" i="48" s="1"/>
  <c r="F507" i="48"/>
  <c r="D506" i="48"/>
  <c r="F506" i="48" s="1"/>
  <c r="F504" i="48"/>
  <c r="F503" i="48"/>
  <c r="F502" i="48"/>
  <c r="F501" i="48"/>
  <c r="F500" i="48"/>
  <c r="F499" i="48"/>
  <c r="F498" i="48"/>
  <c r="F497" i="48"/>
  <c r="F496" i="48"/>
  <c r="D493" i="48"/>
  <c r="D495" i="48" s="1"/>
  <c r="F495" i="48" s="1"/>
  <c r="D491" i="48"/>
  <c r="F491" i="48" s="1"/>
  <c r="D490" i="48"/>
  <c r="F490" i="48" s="1"/>
  <c r="F489" i="48"/>
  <c r="D488" i="48"/>
  <c r="F488" i="48" s="1"/>
  <c r="F486" i="48"/>
  <c r="F485" i="48"/>
  <c r="F484" i="48"/>
  <c r="F482" i="48"/>
  <c r="F481" i="48"/>
  <c r="F480" i="48"/>
  <c r="F479" i="48"/>
  <c r="F478" i="48"/>
  <c r="F476" i="48"/>
  <c r="F475" i="48"/>
  <c r="F473" i="48"/>
  <c r="F472" i="48"/>
  <c r="F470" i="48"/>
  <c r="F467" i="48"/>
  <c r="F466" i="48"/>
  <c r="F465" i="48"/>
  <c r="F464" i="48"/>
  <c r="D461" i="48"/>
  <c r="F461" i="48" s="1"/>
  <c r="F458" i="48"/>
  <c r="F457" i="48"/>
  <c r="F456" i="48"/>
  <c r="F455" i="48"/>
  <c r="D454" i="48"/>
  <c r="F454" i="48" s="1"/>
  <c r="D453" i="48"/>
  <c r="F453" i="48" s="1"/>
  <c r="F452" i="48"/>
  <c r="D448" i="48"/>
  <c r="D450" i="48" s="1"/>
  <c r="F450" i="48" s="1"/>
  <c r="F446" i="48"/>
  <c r="D445" i="48"/>
  <c r="F445" i="48" s="1"/>
  <c r="D444" i="48"/>
  <c r="F444" i="48" s="1"/>
  <c r="D443" i="48"/>
  <c r="F443" i="48" s="1"/>
  <c r="D441" i="48"/>
  <c r="F441" i="48" s="1"/>
  <c r="D439" i="48"/>
  <c r="F439" i="48" s="1"/>
  <c r="D438" i="48"/>
  <c r="F438" i="48" s="1"/>
  <c r="D437" i="48"/>
  <c r="F437" i="48" s="1"/>
  <c r="D432" i="48"/>
  <c r="D435" i="48" s="1"/>
  <c r="F435" i="48" s="1"/>
  <c r="F430" i="48"/>
  <c r="D429" i="48"/>
  <c r="F429" i="48" s="1"/>
  <c r="D428" i="48"/>
  <c r="F428" i="48" s="1"/>
  <c r="F427" i="48"/>
  <c r="D425" i="48"/>
  <c r="F425" i="48" s="1"/>
  <c r="D424" i="48"/>
  <c r="F424" i="48" s="1"/>
  <c r="F423" i="48"/>
  <c r="F421" i="48"/>
  <c r="D420" i="48"/>
  <c r="F420" i="48" s="1"/>
  <c r="F419" i="48"/>
  <c r="F417" i="48"/>
  <c r="F413" i="48"/>
  <c r="F412" i="48"/>
  <c r="F411" i="48"/>
  <c r="F414" i="48" s="1"/>
  <c r="F407" i="48"/>
  <c r="F408" i="48" s="1"/>
  <c r="D355" i="48"/>
  <c r="F355" i="48" s="1"/>
  <c r="D245" i="48"/>
  <c r="F245" i="48" s="1"/>
  <c r="D244" i="48"/>
  <c r="F244" i="48" s="1"/>
  <c r="D397" i="48"/>
  <c r="F397" i="48" s="1"/>
  <c r="D396" i="48"/>
  <c r="F396" i="48" s="1"/>
  <c r="D394" i="48"/>
  <c r="F394" i="48" s="1"/>
  <c r="F391" i="48"/>
  <c r="D387" i="48"/>
  <c r="F387" i="48" s="1"/>
  <c r="D385" i="48"/>
  <c r="F385" i="48" s="1"/>
  <c r="D384" i="48"/>
  <c r="F384" i="48" s="1"/>
  <c r="F379" i="48"/>
  <c r="F378" i="48"/>
  <c r="F377" i="48"/>
  <c r="F376" i="48"/>
  <c r="F371" i="48"/>
  <c r="F370" i="48"/>
  <c r="F368" i="48"/>
  <c r="F365" i="48"/>
  <c r="F364" i="48"/>
  <c r="F362" i="48"/>
  <c r="F361" i="48"/>
  <c r="F360" i="48"/>
  <c r="F353" i="48"/>
  <c r="F352" i="48"/>
  <c r="D349" i="48"/>
  <c r="F349" i="48" s="1"/>
  <c r="D347" i="48"/>
  <c r="F347" i="48" s="1"/>
  <c r="F346" i="48"/>
  <c r="F343" i="48"/>
  <c r="F342" i="48"/>
  <c r="F341" i="48"/>
  <c r="F340" i="48"/>
  <c r="F336" i="48"/>
  <c r="F337" i="48" s="1"/>
  <c r="D332" i="48"/>
  <c r="F332" i="48" s="1"/>
  <c r="F330" i="48"/>
  <c r="D328" i="48"/>
  <c r="F328" i="48" s="1"/>
  <c r="F323" i="48"/>
  <c r="F322" i="48"/>
  <c r="F321" i="48"/>
  <c r="F320" i="48"/>
  <c r="F319" i="48"/>
  <c r="F318" i="48"/>
  <c r="D317" i="48"/>
  <c r="F317" i="48" s="1"/>
  <c r="F316" i="48"/>
  <c r="F311" i="48"/>
  <c r="F310" i="48"/>
  <c r="D309" i="48"/>
  <c r="F309" i="48" s="1"/>
  <c r="F308" i="48"/>
  <c r="D307" i="48"/>
  <c r="F307" i="48" s="1"/>
  <c r="F305" i="48"/>
  <c r="F304" i="48"/>
  <c r="F303" i="48"/>
  <c r="F302" i="48"/>
  <c r="F301" i="48"/>
  <c r="F300" i="48"/>
  <c r="F299" i="48"/>
  <c r="F298" i="48"/>
  <c r="F297" i="48"/>
  <c r="D294" i="48"/>
  <c r="D296" i="48" s="1"/>
  <c r="F296" i="48" s="1"/>
  <c r="D292" i="48"/>
  <c r="F292" i="48" s="1"/>
  <c r="D291" i="48"/>
  <c r="F291" i="48" s="1"/>
  <c r="F290" i="48"/>
  <c r="D289" i="48"/>
  <c r="F289" i="48" s="1"/>
  <c r="F287" i="48"/>
  <c r="F286" i="48"/>
  <c r="F285" i="48"/>
  <c r="F283" i="48"/>
  <c r="F282" i="48"/>
  <c r="F281" i="48"/>
  <c r="F280" i="48"/>
  <c r="F279" i="48"/>
  <c r="F277" i="48"/>
  <c r="F276" i="48"/>
  <c r="F274" i="48"/>
  <c r="F273" i="48"/>
  <c r="F271" i="48"/>
  <c r="F268" i="48"/>
  <c r="F267" i="48"/>
  <c r="F266" i="48"/>
  <c r="F265" i="48"/>
  <c r="D262" i="48"/>
  <c r="D264" i="48" s="1"/>
  <c r="F264" i="48" s="1"/>
  <c r="F259" i="48"/>
  <c r="F258" i="48"/>
  <c r="F257" i="48"/>
  <c r="F256" i="48"/>
  <c r="D255" i="48"/>
  <c r="F255" i="48" s="1"/>
  <c r="D254" i="48"/>
  <c r="F254" i="48" s="1"/>
  <c r="F253" i="48"/>
  <c r="D249" i="48"/>
  <c r="F249" i="48" s="1"/>
  <c r="F247" i="48"/>
  <c r="D246" i="48"/>
  <c r="F246" i="48" s="1"/>
  <c r="D242" i="48"/>
  <c r="F242" i="48" s="1"/>
  <c r="D240" i="48"/>
  <c r="F240" i="48" s="1"/>
  <c r="D239" i="48"/>
  <c r="F239" i="48" s="1"/>
  <c r="D238" i="48"/>
  <c r="F238" i="48" s="1"/>
  <c r="D233" i="48"/>
  <c r="D236" i="48" s="1"/>
  <c r="F236" i="48" s="1"/>
  <c r="F231" i="48"/>
  <c r="D230" i="48"/>
  <c r="F230" i="48" s="1"/>
  <c r="D229" i="48"/>
  <c r="F229" i="48" s="1"/>
  <c r="F228" i="48"/>
  <c r="D226" i="48"/>
  <c r="F226" i="48" s="1"/>
  <c r="D225" i="48"/>
  <c r="F225" i="48" s="1"/>
  <c r="F224" i="48"/>
  <c r="F222" i="48"/>
  <c r="D221" i="48"/>
  <c r="F221" i="48" s="1"/>
  <c r="F220" i="48"/>
  <c r="F218" i="48"/>
  <c r="F214" i="48"/>
  <c r="F213" i="48"/>
  <c r="F212" i="48"/>
  <c r="F208" i="48"/>
  <c r="F209" i="48" s="1"/>
  <c r="D150" i="48"/>
  <c r="F150" i="48" s="1"/>
  <c r="D148" i="48"/>
  <c r="F148" i="48" s="1"/>
  <c r="F147" i="48"/>
  <c r="F161" i="48"/>
  <c r="D63" i="48"/>
  <c r="D65" i="48" s="1"/>
  <c r="F65" i="48" s="1"/>
  <c r="D47" i="48"/>
  <c r="D71" i="48" s="1"/>
  <c r="F71" i="48" s="1"/>
  <c r="D50" i="48"/>
  <c r="D52" i="48" s="1"/>
  <c r="F52" i="48" s="1"/>
  <c r="D46" i="48"/>
  <c r="F46" i="48" s="1"/>
  <c r="D45" i="48"/>
  <c r="F45" i="48" s="1"/>
  <c r="D198" i="48"/>
  <c r="F198" i="48" s="1"/>
  <c r="D197" i="48"/>
  <c r="F197" i="48" s="1"/>
  <c r="D195" i="48"/>
  <c r="F195" i="48" s="1"/>
  <c r="F192" i="48"/>
  <c r="D188" i="48"/>
  <c r="F188" i="48" s="1"/>
  <c r="D186" i="48"/>
  <c r="F186" i="48" s="1"/>
  <c r="D185" i="48"/>
  <c r="F185" i="48" s="1"/>
  <c r="F180" i="48"/>
  <c r="F179" i="48"/>
  <c r="F178" i="48"/>
  <c r="F177" i="48"/>
  <c r="F172" i="48"/>
  <c r="F171" i="48"/>
  <c r="F169" i="48"/>
  <c r="F166" i="48"/>
  <c r="F165" i="48"/>
  <c r="F163" i="48"/>
  <c r="F162" i="48"/>
  <c r="D156" i="48"/>
  <c r="F156" i="48" s="1"/>
  <c r="F154" i="48"/>
  <c r="F153" i="48"/>
  <c r="F144" i="48"/>
  <c r="F143" i="48"/>
  <c r="F142" i="48"/>
  <c r="F141" i="48"/>
  <c r="F137" i="48"/>
  <c r="F138" i="48" s="1"/>
  <c r="D133" i="48"/>
  <c r="F133" i="48" s="1"/>
  <c r="F131" i="48"/>
  <c r="D129" i="48"/>
  <c r="F129" i="48" s="1"/>
  <c r="F124" i="48"/>
  <c r="F123" i="48"/>
  <c r="F122" i="48"/>
  <c r="F121" i="48"/>
  <c r="F120" i="48"/>
  <c r="F119" i="48"/>
  <c r="D118" i="48"/>
  <c r="F118" i="48" s="1"/>
  <c r="F117" i="48"/>
  <c r="F112" i="48"/>
  <c r="F111" i="48"/>
  <c r="D110" i="48"/>
  <c r="F110" i="48" s="1"/>
  <c r="F109" i="48"/>
  <c r="D108" i="48"/>
  <c r="F108" i="48" s="1"/>
  <c r="F106" i="48"/>
  <c r="F105" i="48"/>
  <c r="F104" i="48"/>
  <c r="F103" i="48"/>
  <c r="F102" i="48"/>
  <c r="F101" i="48"/>
  <c r="F100" i="48"/>
  <c r="F99" i="48"/>
  <c r="F98" i="48"/>
  <c r="D95" i="48"/>
  <c r="D97" i="48" s="1"/>
  <c r="F97" i="48" s="1"/>
  <c r="D93" i="48"/>
  <c r="F93" i="48" s="1"/>
  <c r="D92" i="48"/>
  <c r="F92" i="48" s="1"/>
  <c r="F91" i="48"/>
  <c r="D90" i="48"/>
  <c r="F90" i="48" s="1"/>
  <c r="F88" i="48"/>
  <c r="F87" i="48"/>
  <c r="F86" i="48"/>
  <c r="F84" i="48"/>
  <c r="F83" i="48"/>
  <c r="F82" i="48"/>
  <c r="F81" i="48"/>
  <c r="F80" i="48"/>
  <c r="F78" i="48"/>
  <c r="F77" i="48"/>
  <c r="F75" i="48"/>
  <c r="F74" i="48"/>
  <c r="F72" i="48"/>
  <c r="F69" i="48"/>
  <c r="F68" i="48"/>
  <c r="F67" i="48"/>
  <c r="F66" i="48"/>
  <c r="F60" i="48"/>
  <c r="F59" i="48"/>
  <c r="F58" i="48"/>
  <c r="F57" i="48"/>
  <c r="D56" i="48"/>
  <c r="F56" i="48" s="1"/>
  <c r="D55" i="48"/>
  <c r="F55" i="48" s="1"/>
  <c r="F54" i="48"/>
  <c r="F48" i="48"/>
  <c r="D43" i="48"/>
  <c r="F43" i="48" s="1"/>
  <c r="D41" i="48"/>
  <c r="F41" i="48" s="1"/>
  <c r="D40" i="48"/>
  <c r="F40" i="48" s="1"/>
  <c r="D39" i="48"/>
  <c r="F39" i="48" s="1"/>
  <c r="D34" i="48"/>
  <c r="D37" i="48" s="1"/>
  <c r="F37" i="48" s="1"/>
  <c r="F32" i="48"/>
  <c r="D31" i="48"/>
  <c r="F31" i="48" s="1"/>
  <c r="D30" i="48"/>
  <c r="F30" i="48" s="1"/>
  <c r="F29" i="48"/>
  <c r="D27" i="48"/>
  <c r="F27" i="48" s="1"/>
  <c r="D26" i="48"/>
  <c r="F26" i="48" s="1"/>
  <c r="F25" i="48"/>
  <c r="F23" i="48"/>
  <c r="D22" i="48"/>
  <c r="F22" i="48" s="1"/>
  <c r="F21" i="48"/>
  <c r="F19" i="48"/>
  <c r="F15" i="48"/>
  <c r="F14" i="48"/>
  <c r="F13" i="48"/>
  <c r="F9" i="48"/>
  <c r="F10" i="48" s="1"/>
  <c r="D789" i="48"/>
  <c r="F789" i="48" s="1"/>
  <c r="D788" i="48"/>
  <c r="F788" i="48" s="1"/>
  <c r="D786" i="48"/>
  <c r="F786" i="48" s="1"/>
  <c r="F783" i="48"/>
  <c r="D779" i="48"/>
  <c r="F779" i="48" s="1"/>
  <c r="D777" i="48"/>
  <c r="F777" i="48" s="1"/>
  <c r="D776" i="48"/>
  <c r="F776" i="48" s="1"/>
  <c r="F772" i="48"/>
  <c r="F773" i="48" s="1"/>
  <c r="F767" i="48"/>
  <c r="F766" i="48"/>
  <c r="F764" i="48"/>
  <c r="F761" i="48"/>
  <c r="F760" i="48"/>
  <c r="F758" i="48"/>
  <c r="F757" i="48"/>
  <c r="D751" i="48"/>
  <c r="D752" i="48" s="1"/>
  <c r="F749" i="48"/>
  <c r="F748" i="48"/>
  <c r="F745" i="48"/>
  <c r="F744" i="48"/>
  <c r="F741" i="48"/>
  <c r="F740" i="48"/>
  <c r="F739" i="48"/>
  <c r="F738" i="48"/>
  <c r="F734" i="48"/>
  <c r="F735" i="48" s="1"/>
  <c r="F730" i="48"/>
  <c r="F728" i="48"/>
  <c r="F726" i="48"/>
  <c r="F719" i="48"/>
  <c r="F718" i="48"/>
  <c r="F717" i="48"/>
  <c r="F716" i="48"/>
  <c r="F715" i="48"/>
  <c r="F714" i="48"/>
  <c r="F713" i="48"/>
  <c r="F712" i="48"/>
  <c r="F707" i="48"/>
  <c r="D706" i="48"/>
  <c r="F706" i="48" s="1"/>
  <c r="F705" i="48"/>
  <c r="D704" i="48"/>
  <c r="F704" i="48" s="1"/>
  <c r="F702" i="48"/>
  <c r="F701" i="48"/>
  <c r="F700" i="48"/>
  <c r="F699" i="48"/>
  <c r="F698" i="48"/>
  <c r="F697" i="48"/>
  <c r="F696" i="48"/>
  <c r="F695" i="48"/>
  <c r="F694" i="48"/>
  <c r="D691" i="48"/>
  <c r="F691" i="48" s="1"/>
  <c r="D689" i="48"/>
  <c r="F689" i="48" s="1"/>
  <c r="D688" i="48"/>
  <c r="F688" i="48" s="1"/>
  <c r="D687" i="48"/>
  <c r="F687" i="48" s="1"/>
  <c r="D686" i="48"/>
  <c r="F686" i="48" s="1"/>
  <c r="F684" i="48"/>
  <c r="F683" i="48"/>
  <c r="F682" i="48"/>
  <c r="F680" i="48"/>
  <c r="F679" i="48"/>
  <c r="F678" i="48"/>
  <c r="F677" i="48"/>
  <c r="F676" i="48"/>
  <c r="F674" i="48"/>
  <c r="F673" i="48"/>
  <c r="F670" i="48"/>
  <c r="F668" i="48"/>
  <c r="D667" i="48"/>
  <c r="F667" i="48" s="1"/>
  <c r="F665" i="48"/>
  <c r="F664" i="48"/>
  <c r="F663" i="48"/>
  <c r="F662" i="48"/>
  <c r="D661" i="48"/>
  <c r="F661" i="48" s="1"/>
  <c r="F656" i="48"/>
  <c r="F655" i="48"/>
  <c r="F654" i="48"/>
  <c r="F653" i="48"/>
  <c r="D652" i="48"/>
  <c r="F652" i="48" s="1"/>
  <c r="D651" i="48"/>
  <c r="F651" i="48" s="1"/>
  <c r="F650" i="48"/>
  <c r="F643" i="48"/>
  <c r="D639" i="48"/>
  <c r="F639" i="48" s="1"/>
  <c r="D637" i="48"/>
  <c r="F637" i="48" s="1"/>
  <c r="D636" i="48"/>
  <c r="F636" i="48" s="1"/>
  <c r="D635" i="48"/>
  <c r="F635" i="48" s="1"/>
  <c r="D630" i="48"/>
  <c r="D633" i="48" s="1"/>
  <c r="F633" i="48" s="1"/>
  <c r="F628" i="48"/>
  <c r="D627" i="48"/>
  <c r="F627" i="48" s="1"/>
  <c r="D626" i="48"/>
  <c r="F626" i="48" s="1"/>
  <c r="F625" i="48"/>
  <c r="D623" i="48"/>
  <c r="F623" i="48" s="1"/>
  <c r="D622" i="48"/>
  <c r="F622" i="48" s="1"/>
  <c r="F621" i="48"/>
  <c r="F619" i="48"/>
  <c r="D618" i="48"/>
  <c r="F618" i="48" s="1"/>
  <c r="F617" i="48"/>
  <c r="F615" i="48"/>
  <c r="F610" i="48"/>
  <c r="F609" i="48"/>
  <c r="F605" i="48"/>
  <c r="F606" i="48" s="1"/>
  <c r="F794" i="48" l="1"/>
  <c r="D433" i="48"/>
  <c r="F433" i="48" s="1"/>
  <c r="D434" i="48"/>
  <c r="F434" i="48" s="1"/>
  <c r="F493" i="48"/>
  <c r="D494" i="48"/>
  <c r="F494" i="48" s="1"/>
  <c r="F523" i="48"/>
  <c r="D469" i="48"/>
  <c r="F469" i="48" s="1"/>
  <c r="D250" i="48"/>
  <c r="F250" i="48" s="1"/>
  <c r="F350" i="48"/>
  <c r="D251" i="48"/>
  <c r="F251" i="48" s="1"/>
  <c r="D462" i="48"/>
  <c r="F462" i="48" s="1"/>
  <c r="F432" i="48"/>
  <c r="F571" i="48"/>
  <c r="F579" i="48"/>
  <c r="F549" i="48"/>
  <c r="F532" i="48"/>
  <c r="D555" i="48"/>
  <c r="F294" i="48"/>
  <c r="D463" i="48"/>
  <c r="F463" i="48" s="1"/>
  <c r="D295" i="48"/>
  <c r="F295" i="48" s="1"/>
  <c r="F333" i="48"/>
  <c r="F380" i="48"/>
  <c r="F448" i="48"/>
  <c r="D449" i="48"/>
  <c r="F449" i="48" s="1"/>
  <c r="F215" i="48"/>
  <c r="D270" i="48"/>
  <c r="F270" i="48" s="1"/>
  <c r="F372" i="48"/>
  <c r="F233" i="48"/>
  <c r="D234" i="48"/>
  <c r="F234" i="48" s="1"/>
  <c r="F324" i="48"/>
  <c r="D235" i="48"/>
  <c r="F235" i="48" s="1"/>
  <c r="F262" i="48"/>
  <c r="D263" i="48"/>
  <c r="F263" i="48" s="1"/>
  <c r="F16" i="48"/>
  <c r="F731" i="48"/>
  <c r="F95" i="48"/>
  <c r="F720" i="48"/>
  <c r="F181" i="48"/>
  <c r="F47" i="48"/>
  <c r="F173" i="48"/>
  <c r="D96" i="48"/>
  <c r="F96" i="48" s="1"/>
  <c r="F134" i="48"/>
  <c r="F746" i="48"/>
  <c r="F612" i="48"/>
  <c r="F125" i="48"/>
  <c r="F151" i="48"/>
  <c r="F752" i="48"/>
  <c r="D780" i="48"/>
  <c r="F780" i="48" s="1"/>
  <c r="F790" i="48" s="1"/>
  <c r="F34" i="48"/>
  <c r="D51" i="48"/>
  <c r="F51" i="48" s="1"/>
  <c r="D35" i="48"/>
  <c r="F35" i="48" s="1"/>
  <c r="F646" i="48"/>
  <c r="F63" i="48"/>
  <c r="D157" i="48"/>
  <c r="D36" i="48"/>
  <c r="F36" i="48" s="1"/>
  <c r="D64" i="48"/>
  <c r="F64" i="48" s="1"/>
  <c r="D631" i="48"/>
  <c r="F631" i="48" s="1"/>
  <c r="D648" i="48"/>
  <c r="F648" i="48" s="1"/>
  <c r="F659" i="48"/>
  <c r="D692" i="48"/>
  <c r="F692" i="48" s="1"/>
  <c r="D671" i="48"/>
  <c r="F671" i="48" s="1"/>
  <c r="D693" i="48"/>
  <c r="F693" i="48" s="1"/>
  <c r="F751" i="48"/>
  <c r="F50" i="48"/>
  <c r="F630" i="48"/>
  <c r="D632" i="48"/>
  <c r="F632" i="48" s="1"/>
  <c r="D660" i="48"/>
  <c r="F660" i="48" s="1"/>
  <c r="F511" i="48" l="1"/>
  <c r="F512" i="48" s="1"/>
  <c r="F312" i="48"/>
  <c r="D587" i="48"/>
  <c r="F587" i="48" s="1"/>
  <c r="F597" i="48" s="1"/>
  <c r="F555" i="48"/>
  <c r="F556" i="48" s="1"/>
  <c r="D388" i="48"/>
  <c r="F388" i="48" s="1"/>
  <c r="F356" i="48"/>
  <c r="F357" i="48" s="1"/>
  <c r="F753" i="48"/>
  <c r="F113" i="48"/>
  <c r="F114" i="48" s="1"/>
  <c r="F708" i="48"/>
  <c r="F709" i="48" s="1"/>
  <c r="F157" i="48"/>
  <c r="F158" i="48" s="1"/>
  <c r="D189" i="48"/>
  <c r="F189" i="48" s="1"/>
  <c r="F199" i="48" s="1"/>
  <c r="D11" i="47" l="1"/>
  <c r="F11" i="47" s="1"/>
  <c r="F12" i="47"/>
  <c r="D14" i="47"/>
  <c r="F14" i="47" s="1"/>
  <c r="F13" i="47"/>
  <c r="F16" i="47" l="1"/>
  <c r="B18" i="39" s="1"/>
  <c r="F121" i="36" l="1"/>
  <c r="F105" i="36"/>
  <c r="F104" i="36"/>
  <c r="D104" i="36"/>
  <c r="D102" i="36"/>
  <c r="F102" i="36" s="1"/>
  <c r="F101" i="36"/>
  <c r="F95" i="36" l="1"/>
  <c r="F93" i="36"/>
  <c r="F91" i="36"/>
  <c r="F90" i="36"/>
  <c r="F96" i="36" l="1"/>
  <c r="D105" i="42" l="1"/>
  <c r="F105" i="42" s="1"/>
  <c r="D103" i="42"/>
  <c r="F103" i="42" s="1"/>
  <c r="D101" i="42"/>
  <c r="F101" i="42" s="1"/>
  <c r="F100" i="42"/>
  <c r="F95" i="42"/>
  <c r="D94" i="42"/>
  <c r="F94" i="42" s="1"/>
  <c r="F89" i="42"/>
  <c r="F88" i="42"/>
  <c r="F87" i="42"/>
  <c r="F81" i="42"/>
  <c r="F82" i="42" s="1"/>
  <c r="F75" i="42"/>
  <c r="F76" i="42" s="1"/>
  <c r="F70" i="42"/>
  <c r="D68" i="42"/>
  <c r="F68" i="42" s="1"/>
  <c r="D66" i="42"/>
  <c r="F66" i="42" s="1"/>
  <c r="F60" i="42"/>
  <c r="F61" i="42" s="1"/>
  <c r="F56" i="42"/>
  <c r="F57" i="42" s="1"/>
  <c r="F50" i="42"/>
  <c r="F48" i="42"/>
  <c r="D45" i="42"/>
  <c r="F45" i="42" s="1"/>
  <c r="D40" i="42"/>
  <c r="D42" i="42" s="1"/>
  <c r="F42" i="42" s="1"/>
  <c r="D36" i="42"/>
  <c r="D38" i="42" s="1"/>
  <c r="F38" i="42" s="1"/>
  <c r="D34" i="42"/>
  <c r="D44" i="42" s="1"/>
  <c r="F44" i="42" s="1"/>
  <c r="F32" i="42"/>
  <c r="D32" i="42"/>
  <c r="D29" i="42"/>
  <c r="D31" i="42" s="1"/>
  <c r="F31" i="42" s="1"/>
  <c r="D26" i="42"/>
  <c r="D27" i="42" s="1"/>
  <c r="F27" i="42" s="1"/>
  <c r="D24" i="42"/>
  <c r="F24" i="42" s="1"/>
  <c r="D21" i="42"/>
  <c r="D22" i="42" s="1"/>
  <c r="F22" i="42" s="1"/>
  <c r="D19" i="42"/>
  <c r="F19" i="42" s="1"/>
  <c r="F10" i="42"/>
  <c r="D9" i="42"/>
  <c r="F9" i="42" s="1"/>
  <c r="F36" i="42" l="1"/>
  <c r="F106" i="42"/>
  <c r="F90" i="42"/>
  <c r="F11" i="42"/>
  <c r="F13" i="42" s="1"/>
  <c r="F71" i="42"/>
  <c r="F96" i="42"/>
  <c r="D23" i="42"/>
  <c r="F23" i="42" s="1"/>
  <c r="F29" i="42"/>
  <c r="F34" i="42"/>
  <c r="F40" i="42"/>
  <c r="D30" i="42"/>
  <c r="F30" i="42" s="1"/>
  <c r="D41" i="42"/>
  <c r="F41" i="42" s="1"/>
  <c r="D37" i="42"/>
  <c r="F37" i="42" s="1"/>
  <c r="F21" i="42"/>
  <c r="F26" i="42"/>
  <c r="F51" i="42" l="1"/>
  <c r="F53" i="42" s="1"/>
  <c r="F108" i="42" s="1"/>
  <c r="F110" i="42" l="1"/>
  <c r="F114" i="42" s="1"/>
  <c r="B14" i="39" s="1"/>
  <c r="D36" i="37" l="1"/>
  <c r="D35" i="37"/>
  <c r="F35" i="37" s="1"/>
  <c r="F107" i="40"/>
  <c r="D107" i="40"/>
  <c r="F106" i="40"/>
  <c r="D106" i="40"/>
  <c r="D104" i="40"/>
  <c r="F104" i="40" s="1"/>
  <c r="F102" i="40"/>
  <c r="D102" i="40"/>
  <c r="F100" i="40"/>
  <c r="D100" i="40"/>
  <c r="D99" i="40"/>
  <c r="F99" i="40" s="1"/>
  <c r="F108" i="40" s="1"/>
  <c r="F110" i="40" s="1"/>
  <c r="F112" i="40" s="1"/>
  <c r="F93" i="40"/>
  <c r="F91" i="40"/>
  <c r="F94" i="40" s="1"/>
  <c r="F90" i="40"/>
  <c r="F85" i="40"/>
  <c r="F84" i="40"/>
  <c r="D78" i="40"/>
  <c r="F78" i="40" s="1"/>
  <c r="F76" i="40"/>
  <c r="F74" i="40"/>
  <c r="D74" i="40"/>
  <c r="F68" i="40"/>
  <c r="D67" i="40"/>
  <c r="F67" i="40" s="1"/>
  <c r="F69" i="40" s="1"/>
  <c r="F60" i="40"/>
  <c r="F59" i="40"/>
  <c r="D56" i="40"/>
  <c r="D57" i="40" s="1"/>
  <c r="F57" i="40" s="1"/>
  <c r="D55" i="40"/>
  <c r="F55" i="40" s="1"/>
  <c r="F54" i="40"/>
  <c r="D54" i="40"/>
  <c r="F53" i="40"/>
  <c r="D53" i="40"/>
  <c r="D52" i="40"/>
  <c r="F52" i="40" s="1"/>
  <c r="F50" i="40"/>
  <c r="F49" i="40"/>
  <c r="F48" i="40"/>
  <c r="F46" i="40"/>
  <c r="D46" i="40"/>
  <c r="D43" i="40"/>
  <c r="D44" i="40" s="1"/>
  <c r="F44" i="40" s="1"/>
  <c r="D41" i="40"/>
  <c r="F41" i="40" s="1"/>
  <c r="D39" i="40"/>
  <c r="F39" i="40" s="1"/>
  <c r="D38" i="40"/>
  <c r="F38" i="40" s="1"/>
  <c r="D36" i="40"/>
  <c r="F36" i="40" s="1"/>
  <c r="F35" i="40"/>
  <c r="D35" i="40"/>
  <c r="D34" i="40"/>
  <c r="F34" i="40" s="1"/>
  <c r="D32" i="40"/>
  <c r="F32" i="40" s="1"/>
  <c r="D31" i="40"/>
  <c r="F31" i="40" s="1"/>
  <c r="D29" i="40"/>
  <c r="D40" i="40" s="1"/>
  <c r="F40" i="40" s="1"/>
  <c r="D28" i="40"/>
  <c r="F28" i="40" s="1"/>
  <c r="D27" i="40"/>
  <c r="F27" i="40" s="1"/>
  <c r="D22" i="40"/>
  <c r="F22" i="40" s="1"/>
  <c r="D21" i="40"/>
  <c r="F21" i="40" s="1"/>
  <c r="F20" i="40"/>
  <c r="D20" i="40"/>
  <c r="D19" i="40"/>
  <c r="D30" i="40" s="1"/>
  <c r="F30" i="40" s="1"/>
  <c r="F13" i="40"/>
  <c r="F12" i="40"/>
  <c r="F11" i="40"/>
  <c r="F14" i="40" s="1"/>
  <c r="F23" i="40" l="1"/>
  <c r="F79" i="40"/>
  <c r="F43" i="40"/>
  <c r="F56" i="40"/>
  <c r="F29" i="40"/>
  <c r="D26" i="40"/>
  <c r="F26" i="40" s="1"/>
  <c r="F61" i="40" s="1"/>
  <c r="F62" i="40" l="1"/>
  <c r="F114" i="40" s="1"/>
  <c r="B10" i="39" s="1"/>
  <c r="D127" i="37" l="1"/>
  <c r="F127" i="37" s="1"/>
  <c r="D124" i="37"/>
  <c r="F124" i="37" s="1"/>
  <c r="D122" i="37"/>
  <c r="F122" i="37" s="1"/>
  <c r="D121" i="37"/>
  <c r="F121" i="37" s="1"/>
  <c r="F116" i="37"/>
  <c r="F115" i="37"/>
  <c r="F110" i="37"/>
  <c r="F108" i="37"/>
  <c r="F107" i="37"/>
  <c r="D100" i="37"/>
  <c r="F100" i="37" s="1"/>
  <c r="D99" i="37"/>
  <c r="D125" i="37" s="1"/>
  <c r="F125" i="37" s="1"/>
  <c r="F95" i="37"/>
  <c r="F96" i="37" s="1"/>
  <c r="D90" i="37"/>
  <c r="F90" i="37" s="1"/>
  <c r="F88" i="37"/>
  <c r="D86" i="37"/>
  <c r="F86" i="37" s="1"/>
  <c r="F80" i="37"/>
  <c r="F81" i="37" s="1"/>
  <c r="D80" i="37"/>
  <c r="F63" i="37"/>
  <c r="F61" i="37"/>
  <c r="F59" i="37"/>
  <c r="F56" i="37"/>
  <c r="F55" i="37"/>
  <c r="D50" i="37"/>
  <c r="F50" i="37" s="1"/>
  <c r="D49" i="37"/>
  <c r="D51" i="37" s="1"/>
  <c r="F51" i="37" s="1"/>
  <c r="F43" i="37"/>
  <c r="D41" i="37"/>
  <c r="D42" i="37" s="1"/>
  <c r="F42" i="37" s="1"/>
  <c r="D39" i="37"/>
  <c r="D54" i="37" s="1"/>
  <c r="F54" i="37" s="1"/>
  <c r="F36" i="37"/>
  <c r="D33" i="37"/>
  <c r="F33" i="37" s="1"/>
  <c r="D30" i="37"/>
  <c r="D45" i="37" s="1"/>
  <c r="D26" i="37"/>
  <c r="D27" i="37" s="1"/>
  <c r="F27" i="37" s="1"/>
  <c r="D23" i="37"/>
  <c r="D24" i="37" s="1"/>
  <c r="F24" i="37" s="1"/>
  <c r="D17" i="37"/>
  <c r="F17" i="37" s="1"/>
  <c r="D16" i="37"/>
  <c r="F16" i="37" s="1"/>
  <c r="D15" i="37"/>
  <c r="F15" i="37" s="1"/>
  <c r="F18" i="37" s="1"/>
  <c r="F10" i="37"/>
  <c r="F9" i="37"/>
  <c r="F8" i="37"/>
  <c r="D118" i="36"/>
  <c r="F118" i="36" s="1"/>
  <c r="D117" i="36"/>
  <c r="F117" i="36" s="1"/>
  <c r="D115" i="36"/>
  <c r="F115" i="36" s="1"/>
  <c r="D113" i="36"/>
  <c r="F113" i="36" s="1"/>
  <c r="D111" i="36"/>
  <c r="F111" i="36" s="1"/>
  <c r="D110" i="36"/>
  <c r="F110" i="36" s="1"/>
  <c r="F84" i="36"/>
  <c r="F85" i="36" s="1"/>
  <c r="D78" i="36"/>
  <c r="F78" i="36" s="1"/>
  <c r="F76" i="36"/>
  <c r="D74" i="36"/>
  <c r="F74" i="36" s="1"/>
  <c r="F68" i="36"/>
  <c r="D67" i="36"/>
  <c r="F67" i="36" s="1"/>
  <c r="F60" i="36"/>
  <c r="F59" i="36"/>
  <c r="D56" i="36"/>
  <c r="D57" i="36" s="1"/>
  <c r="F57" i="36" s="1"/>
  <c r="D55" i="36"/>
  <c r="F55" i="36" s="1"/>
  <c r="D54" i="36"/>
  <c r="F54" i="36" s="1"/>
  <c r="D53" i="36"/>
  <c r="F53" i="36" s="1"/>
  <c r="D52" i="36"/>
  <c r="F52" i="36" s="1"/>
  <c r="F50" i="36"/>
  <c r="F49" i="36"/>
  <c r="F48" i="36"/>
  <c r="D46" i="36"/>
  <c r="F46" i="36" s="1"/>
  <c r="D41" i="36"/>
  <c r="F41" i="36" s="1"/>
  <c r="D39" i="36"/>
  <c r="F39" i="36" s="1"/>
  <c r="D38" i="36"/>
  <c r="F38" i="36" s="1"/>
  <c r="D36" i="36"/>
  <c r="F36" i="36" s="1"/>
  <c r="D35" i="36"/>
  <c r="F35" i="36" s="1"/>
  <c r="D34" i="36"/>
  <c r="F34" i="36" s="1"/>
  <c r="D32" i="36"/>
  <c r="F32" i="36" s="1"/>
  <c r="D31" i="36"/>
  <c r="F31" i="36" s="1"/>
  <c r="D30" i="36"/>
  <c r="F30" i="36" s="1"/>
  <c r="D29" i="36"/>
  <c r="D40" i="36" s="1"/>
  <c r="F40" i="36" s="1"/>
  <c r="D28" i="36"/>
  <c r="F28" i="36" s="1"/>
  <c r="D27" i="36"/>
  <c r="F27" i="36" s="1"/>
  <c r="D26" i="36"/>
  <c r="F26" i="36" s="1"/>
  <c r="D22" i="36"/>
  <c r="F22" i="36" s="1"/>
  <c r="D21" i="36"/>
  <c r="F21" i="36" s="1"/>
  <c r="D20" i="36"/>
  <c r="F20" i="36" s="1"/>
  <c r="F13" i="36"/>
  <c r="F12" i="36"/>
  <c r="F11" i="36"/>
  <c r="F14" i="36" s="1"/>
  <c r="F79" i="36" l="1"/>
  <c r="F69" i="36"/>
  <c r="F23" i="36"/>
  <c r="F119" i="36"/>
  <c r="F111" i="37"/>
  <c r="D31" i="37"/>
  <c r="F31" i="37" s="1"/>
  <c r="F49" i="37"/>
  <c r="F117" i="37"/>
  <c r="F23" i="37"/>
  <c r="F11" i="37"/>
  <c r="F99" i="37"/>
  <c r="F102" i="37" s="1"/>
  <c r="D43" i="36"/>
  <c r="D44" i="36" s="1"/>
  <c r="F44" i="36" s="1"/>
  <c r="F56" i="36"/>
  <c r="D47" i="37"/>
  <c r="F47" i="37" s="1"/>
  <c r="F45" i="37"/>
  <c r="D46" i="37"/>
  <c r="F46" i="37" s="1"/>
  <c r="F128" i="37"/>
  <c r="F91" i="37"/>
  <c r="F26" i="37"/>
  <c r="F39" i="37"/>
  <c r="F29" i="36"/>
  <c r="F41" i="37"/>
  <c r="D32" i="37"/>
  <c r="F32" i="37" s="1"/>
  <c r="D28" i="37"/>
  <c r="F28" i="37" s="1"/>
  <c r="F30" i="37"/>
  <c r="F43" i="36" l="1"/>
  <c r="F61" i="36" s="1"/>
  <c r="F62" i="36" s="1"/>
  <c r="F74" i="37"/>
  <c r="F76" i="37" s="1"/>
  <c r="F130" i="37" s="1"/>
  <c r="F123" i="36" l="1"/>
  <c r="F132" i="37"/>
  <c r="E134" i="37" s="1"/>
  <c r="B12" i="39" s="1"/>
  <c r="F125" i="36" l="1"/>
  <c r="B8" i="39"/>
</calcChain>
</file>

<file path=xl/sharedStrings.xml><?xml version="1.0" encoding="utf-8"?>
<sst xmlns="http://schemas.openxmlformats.org/spreadsheetml/2006/main" count="2908" uniqueCount="718">
  <si>
    <t>Unité</t>
  </si>
  <si>
    <t>Montant du marché</t>
  </si>
  <si>
    <t>Quantité du marché</t>
  </si>
  <si>
    <t>Prix unitaire du marché</t>
  </si>
  <si>
    <t>m²</t>
  </si>
  <si>
    <t>1.2</t>
  </si>
  <si>
    <t>2.3</t>
  </si>
  <si>
    <t>ml</t>
  </si>
  <si>
    <t xml:space="preserve">Désignation des Travaux </t>
  </si>
  <si>
    <t>u</t>
  </si>
  <si>
    <t>m3</t>
  </si>
  <si>
    <t>PEINTURE</t>
  </si>
  <si>
    <t>N° d'ordre</t>
  </si>
  <si>
    <t>LOT 1</t>
  </si>
  <si>
    <t>LOT 2</t>
  </si>
  <si>
    <t>GROS-ŒUVRE</t>
  </si>
  <si>
    <t>2.2.</t>
  </si>
  <si>
    <t>2.2.1</t>
  </si>
  <si>
    <t>LOT 3</t>
  </si>
  <si>
    <t>FONDATION</t>
  </si>
  <si>
    <t xml:space="preserve">         * Béton</t>
  </si>
  <si>
    <t xml:space="preserve">         * Coffrage 12 m2/m3</t>
  </si>
  <si>
    <t xml:space="preserve">         * Aciers Tors HA 80 kg/m3</t>
  </si>
  <si>
    <t>kg</t>
  </si>
  <si>
    <t>2.2.2</t>
  </si>
  <si>
    <t>ELEVATION</t>
  </si>
  <si>
    <t>2.2.2.1</t>
  </si>
  <si>
    <t>2.2.2.5</t>
  </si>
  <si>
    <t>2.2.2.7</t>
  </si>
  <si>
    <t>2.2.2.8</t>
  </si>
  <si>
    <t>2.3.1</t>
  </si>
  <si>
    <t>2.3.2</t>
  </si>
  <si>
    <t>2.3.2.5</t>
  </si>
  <si>
    <t xml:space="preserve"> ENDUITS</t>
  </si>
  <si>
    <t>OUVRAGES DIVERS</t>
  </si>
  <si>
    <t>Marches d'escalier</t>
  </si>
  <si>
    <t xml:space="preserve">Rampe </t>
  </si>
  <si>
    <t>Sous-total Maçonnerie béton armé</t>
  </si>
  <si>
    <t>TOTAL GROS-ŒUVRES</t>
  </si>
  <si>
    <t>CHARPENTE</t>
  </si>
  <si>
    <t>TOTAL CHARPENTE</t>
  </si>
  <si>
    <t>LOT 4</t>
  </si>
  <si>
    <t>COUVERTURE</t>
  </si>
  <si>
    <t>GENERALITES</t>
  </si>
  <si>
    <t xml:space="preserve">Couverture </t>
  </si>
  <si>
    <t>Bardage</t>
  </si>
  <si>
    <t>TOTAL COUVERTURE</t>
  </si>
  <si>
    <t>LOT 5</t>
  </si>
  <si>
    <t>ETANCHEITE</t>
  </si>
  <si>
    <t>5.1</t>
  </si>
  <si>
    <t>5.1.1</t>
  </si>
  <si>
    <t>Etanchéité des couvertures tôle</t>
  </si>
  <si>
    <t>TOTAL ETANCHEITE</t>
  </si>
  <si>
    <t>LOT 6</t>
  </si>
  <si>
    <t>LOT 8</t>
  </si>
  <si>
    <t>SERRURERIE</t>
  </si>
  <si>
    <t>TOTAL SERRURERIE</t>
  </si>
  <si>
    <t>Peinture glycero sur ouvrages metalliques</t>
  </si>
  <si>
    <t>TOTAL PEINTURE</t>
  </si>
  <si>
    <t xml:space="preserve"> - Vinyl sur murs extérieurs  et claustras 2 couches</t>
  </si>
  <si>
    <t xml:space="preserve"> - Vinyl sur murs intérieurs  et claustras 2 couches</t>
  </si>
  <si>
    <t xml:space="preserve">         * Aciers Tors HA 70 kg/m3</t>
  </si>
  <si>
    <t xml:space="preserve"> Peinture extérieure</t>
  </si>
  <si>
    <t xml:space="preserve"> Peinture intérieure</t>
  </si>
  <si>
    <t>Rampe d'accès</t>
  </si>
  <si>
    <t>REVETMENT DUR</t>
  </si>
  <si>
    <t>sol et faîence</t>
  </si>
  <si>
    <t xml:space="preserve">TOTAL REVETEMENT </t>
  </si>
  <si>
    <t>1.1</t>
  </si>
  <si>
    <t>1.3</t>
  </si>
  <si>
    <t>DESIGNATION</t>
  </si>
  <si>
    <t>CHARPENTE BOIS</t>
  </si>
  <si>
    <t>LOT 7</t>
  </si>
  <si>
    <t>LOT 9</t>
  </si>
  <si>
    <t>LOT 10</t>
  </si>
  <si>
    <t>U</t>
  </si>
  <si>
    <t>QTE</t>
  </si>
  <si>
    <t>PRIX UNITAIRE</t>
  </si>
  <si>
    <t>P. TOTAL</t>
  </si>
  <si>
    <t>2.1</t>
  </si>
  <si>
    <t xml:space="preserve"> TERRASSEMENTS PARTICULIERS</t>
  </si>
  <si>
    <t>2.1.1.</t>
  </si>
  <si>
    <t>2.1.2.</t>
  </si>
  <si>
    <t xml:space="preserve"> - Remblai des fouilles</t>
  </si>
  <si>
    <t>2.1.3.</t>
  </si>
  <si>
    <t xml:space="preserve"> - Remblai  sous dallage </t>
  </si>
  <si>
    <t>2.2.1.1</t>
  </si>
  <si>
    <t xml:space="preserve"> - Béton de propreté EP = 0,05 dosé à 150 kg/m3</t>
  </si>
  <si>
    <t>2.2.1.2</t>
  </si>
  <si>
    <t>2.2.1.3</t>
  </si>
  <si>
    <t>2.2.1.4</t>
  </si>
  <si>
    <t>2.2.1.5</t>
  </si>
  <si>
    <t>2.2.1.6</t>
  </si>
  <si>
    <t xml:space="preserve">         * Film polyane sous dallage</t>
  </si>
  <si>
    <t>2.2.1.7</t>
  </si>
  <si>
    <t xml:space="preserve"> - Drain en briques </t>
  </si>
  <si>
    <t xml:space="preserve">         * Gravier roulé séléctionné ép=20 cm</t>
  </si>
  <si>
    <t xml:space="preserve">         * Sable ép=10 cm</t>
  </si>
  <si>
    <t xml:space="preserve"> - Raidisseur et poteaux en béton armé dosé à 350 kg/m3</t>
  </si>
  <si>
    <t xml:space="preserve"> - Chaînage haut et linteaux dosés à 350 kg/m3</t>
  </si>
  <si>
    <t xml:space="preserve">         * Coffrage 2 m2/m3</t>
  </si>
  <si>
    <t>2.2.2.6</t>
  </si>
  <si>
    <t xml:space="preserve"> - Couronnement des murs et pignons </t>
  </si>
  <si>
    <t xml:space="preserve">CLAUSTRAS </t>
  </si>
  <si>
    <r>
      <t>m</t>
    </r>
    <r>
      <rPr>
        <vertAlign val="superscript"/>
        <sz val="12"/>
        <rFont val="Calibri"/>
        <family val="2"/>
      </rPr>
      <t>2</t>
    </r>
  </si>
  <si>
    <t xml:space="preserve"> - Fouilles en rigole </t>
  </si>
  <si>
    <t xml:space="preserve"> - Agglos pleins de 15 d'épaisseur</t>
  </si>
  <si>
    <t xml:space="preserve"> - Remblai  sous dalle de la rampe</t>
  </si>
  <si>
    <t>2.3.3</t>
  </si>
  <si>
    <t>2.3.3.1</t>
  </si>
  <si>
    <t>2.3.3.2</t>
  </si>
  <si>
    <t>2.3.3.3</t>
  </si>
  <si>
    <t>2.3.4</t>
  </si>
  <si>
    <t>2.3.4.2</t>
  </si>
  <si>
    <t>Tableau en ciment</t>
  </si>
  <si>
    <t>SOUS/TOTAL  maçonnerie et béton armé</t>
  </si>
  <si>
    <t>3.1</t>
  </si>
  <si>
    <t>CHARPENTE BOIS  ASSEMBLE ET TRAITE</t>
  </si>
  <si>
    <t>3.1.1</t>
  </si>
  <si>
    <t>3.1.2</t>
  </si>
  <si>
    <t>Charpente en bois assamblée et traitée</t>
  </si>
  <si>
    <t>3.1.3</t>
  </si>
  <si>
    <t>Ferrure métallique de fixation des fermes</t>
  </si>
  <si>
    <t>4.1</t>
  </si>
  <si>
    <t>4.1.1</t>
  </si>
  <si>
    <t>4.1.2</t>
  </si>
  <si>
    <t>Faitiere crantée.</t>
  </si>
  <si>
    <t>4.1.2.1</t>
  </si>
  <si>
    <t>4.1.3</t>
  </si>
  <si>
    <t>4.1.3.1</t>
  </si>
  <si>
    <t>Bardage en tôle</t>
  </si>
  <si>
    <t xml:space="preserve">ens </t>
  </si>
  <si>
    <t>7.1</t>
  </si>
  <si>
    <t>7.2</t>
  </si>
  <si>
    <t xml:space="preserve">Portes metalliques tolées sur 1 faces </t>
  </si>
  <si>
    <t>Portes metalliques tolées sur 1 faces pour placards</t>
  </si>
  <si>
    <t>10.1</t>
  </si>
  <si>
    <r>
      <t xml:space="preserve"> Peinture ext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</si>
  <si>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soubassement et parties courantes</t>
    </r>
  </si>
  <si>
    <r>
      <t xml:space="preserve"> Peinture int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</si>
  <si>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t>Peinture glycero sur ouvrages bois et  metalliques</t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</si>
  <si>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menuiserie bois, portes metalliques et grilles anti vol</t>
    </r>
  </si>
  <si>
    <t>Ardoisine en 2 couches sur tableau en ciment</t>
  </si>
  <si>
    <t>Claustras de 22 x 22x20, type BAD (dimension 250 cm x 110 cm) 3 par salle</t>
  </si>
  <si>
    <t>9.1</t>
  </si>
  <si>
    <t>4.1.1.1</t>
  </si>
  <si>
    <t xml:space="preserve"> TRAVAUX PRELIMINAIRES</t>
  </si>
  <si>
    <t xml:space="preserve">LOT 1 </t>
  </si>
  <si>
    <t>GROS OEUVRES</t>
  </si>
  <si>
    <t xml:space="preserve">ELEVATION </t>
  </si>
  <si>
    <t>2.2.2.3</t>
  </si>
  <si>
    <t>2.3.3.4</t>
  </si>
  <si>
    <t>Construction d'escaliers existants</t>
  </si>
  <si>
    <t xml:space="preserve"> TOTAL Gros Oeuvres</t>
  </si>
  <si>
    <t>TOTAL Charpente Bois</t>
  </si>
  <si>
    <t>TOTAL Travaux Preliminaires</t>
  </si>
  <si>
    <t>TOTAL  des Terrassements</t>
  </si>
  <si>
    <t>TOTAL Couverture</t>
  </si>
  <si>
    <r>
      <t>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</si>
  <si>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TOTAL Serrurerie</t>
  </si>
  <si>
    <t>TOTAL Peinture</t>
  </si>
  <si>
    <t>Couverture en tole bac aluzinc</t>
  </si>
  <si>
    <t>Etanchéité Toiture sur les têtes des tire-fonds</t>
  </si>
  <si>
    <t>7.1.1</t>
  </si>
  <si>
    <t>7.2.1</t>
  </si>
  <si>
    <t>9.1.1</t>
  </si>
  <si>
    <t>10.1.1</t>
  </si>
  <si>
    <t>10.1.2</t>
  </si>
  <si>
    <t>10.2</t>
  </si>
  <si>
    <t>10.2.1</t>
  </si>
  <si>
    <t>10.4</t>
  </si>
  <si>
    <t>10.4.1</t>
  </si>
  <si>
    <t xml:space="preserve">FONDATION </t>
  </si>
  <si>
    <t xml:space="preserve"> MACONNERIE </t>
  </si>
  <si>
    <t xml:space="preserve">Implantation des bâtiments </t>
  </si>
  <si>
    <t>Installation de chantier</t>
  </si>
  <si>
    <t>forfait</t>
  </si>
  <si>
    <t xml:space="preserve">         * Enduits ext. dosés à 250 kg/m3 sur maçonnerie</t>
  </si>
  <si>
    <t xml:space="preserve"> - Béton armé pour semelle filante dosé à 350 kg/m3</t>
  </si>
  <si>
    <t xml:space="preserve">         * Enduits int. dosés à 250 kg/m3 sur maçonnerie</t>
  </si>
  <si>
    <t xml:space="preserve"> - Agglos pleins de 15 cm en brique classique</t>
  </si>
  <si>
    <t>TRAVAUX PRELIMINAIRES</t>
  </si>
  <si>
    <t>ff</t>
  </si>
  <si>
    <t>TOTAL TRAVAUX PRELIMINAIRES</t>
  </si>
  <si>
    <t>TERRASSEMENTS PARTICULIERS</t>
  </si>
  <si>
    <t>Remblai provenant des fouilles</t>
  </si>
  <si>
    <t xml:space="preserve">Remblai  sous dallage </t>
  </si>
  <si>
    <t>Sous-total Terrassement particuliers</t>
  </si>
  <si>
    <t>MACONNERIE BETON ARME</t>
  </si>
  <si>
    <t>Semelle filante EP = 20 cm dosé à 200 kg/m3</t>
  </si>
  <si>
    <t>2.2.1.2.1</t>
  </si>
  <si>
    <t>2.2.1.3.2</t>
  </si>
  <si>
    <t>Amorce des poteaux en BA dosé à 3000 kg/m3</t>
  </si>
  <si>
    <t>2.2.1.3.1</t>
  </si>
  <si>
    <t>2.2.1.3.3</t>
  </si>
  <si>
    <t>Chaînage bas en B.A dosé à 300 kg/m3</t>
  </si>
  <si>
    <t>2.2.1.4.1</t>
  </si>
  <si>
    <t>2.2.1.4.2</t>
  </si>
  <si>
    <t>2.2.1.4.3</t>
  </si>
  <si>
    <t>Agglos pleins de 15</t>
  </si>
  <si>
    <t>Dallage au sol en béton armé dosé à 300 kg/m3</t>
  </si>
  <si>
    <t>2.2.1.6.1</t>
  </si>
  <si>
    <t>Agglos 15 creux</t>
  </si>
  <si>
    <t>Poteaux et raidisseurs en béton armé dosé à 350 kg/m3</t>
  </si>
  <si>
    <t>2.2.2.3.1</t>
  </si>
  <si>
    <t>2.2.2.3.2</t>
  </si>
  <si>
    <t>2.2.2.3.3</t>
  </si>
  <si>
    <t xml:space="preserve">         * Coffrage 12 kg/m3</t>
  </si>
  <si>
    <t>Chaînage haut et linteaux dosés à 350 kg/m3</t>
  </si>
  <si>
    <t>2.2.2.5.1</t>
  </si>
  <si>
    <t>2.2.2.5.2</t>
  </si>
  <si>
    <t>2.2.2.5.3</t>
  </si>
  <si>
    <t>Console en BA dosé à 350 kg/m3</t>
  </si>
  <si>
    <t>2.2.2.8.1</t>
  </si>
  <si>
    <t>2.2.2.8.2</t>
  </si>
  <si>
    <t>2.2.2.8.3</t>
  </si>
  <si>
    <t>2.2.2.9</t>
  </si>
  <si>
    <t>2.2.2.9.1</t>
  </si>
  <si>
    <t xml:space="preserve"> * Enduits dosés à 250 kg/m3 </t>
  </si>
  <si>
    <t>2.2.2.10</t>
  </si>
  <si>
    <t xml:space="preserve">Chape incorporée et bouchardée  dosé à 300 kg/m3 </t>
  </si>
  <si>
    <t>2.2.2.11</t>
  </si>
  <si>
    <t>Claustras de 22 x 22x20, type projet BAD</t>
  </si>
  <si>
    <t>2.3.1.4</t>
  </si>
  <si>
    <t xml:space="preserve"> placard en maçonnerie </t>
  </si>
  <si>
    <t xml:space="preserve">         * placard en maçonnerie de 60 x 150 x 100 cm</t>
  </si>
  <si>
    <t>2.3.5</t>
  </si>
  <si>
    <t>Estrade</t>
  </si>
  <si>
    <t>2.3.5.1</t>
  </si>
  <si>
    <t xml:space="preserve">Fouilles en rigole </t>
  </si>
  <si>
    <t>2.3.5.2</t>
  </si>
  <si>
    <t>Remblai  sous l'estrade</t>
  </si>
  <si>
    <t>2.3.5.3</t>
  </si>
  <si>
    <t>Béton de propreté EP = 0,05 dosé à 150 kg/m3</t>
  </si>
  <si>
    <t>2.3.5.4</t>
  </si>
  <si>
    <t>Agglos pleins de 15 d'épaisseur</t>
  </si>
  <si>
    <t>2.3.5.5</t>
  </si>
  <si>
    <t>Dallage de l'estrade en béton armé dosé à 350 kg/m3</t>
  </si>
  <si>
    <t>2.3.5.5.1</t>
  </si>
  <si>
    <t>2.3.5.5.2</t>
  </si>
  <si>
    <t xml:space="preserve">         * Armature en treilli de fer diam.6</t>
  </si>
  <si>
    <t>2.3.5.5.3</t>
  </si>
  <si>
    <t>2.3.5.6</t>
  </si>
  <si>
    <t>Enduits sur l'estrade</t>
  </si>
  <si>
    <t>Charpente</t>
  </si>
  <si>
    <t xml:space="preserve">Faitiere prefabriquée </t>
  </si>
  <si>
    <t>5.1.3</t>
  </si>
  <si>
    <t>5.1.3.1</t>
  </si>
  <si>
    <t>Bardage en tôle bac colorée h=30 cm</t>
  </si>
  <si>
    <t>Etanchéité sur les têtes de pointe</t>
  </si>
  <si>
    <t>FAUX PLAFOND EN CP 8 mm</t>
  </si>
  <si>
    <t>Faux plafond en contre- plaqué de 8 mm, dans les magasins</t>
  </si>
  <si>
    <t>Pose de baguettes</t>
  </si>
  <si>
    <t>TOTAL FAUX PLAFOND EN CP 8mm</t>
  </si>
  <si>
    <t xml:space="preserve">Portes metalliques </t>
  </si>
  <si>
    <t>Porte métallique</t>
  </si>
  <si>
    <t>7.1.1.1</t>
  </si>
  <si>
    <t xml:space="preserve">  * 100 x 100 </t>
  </si>
  <si>
    <t>7.1.1.2</t>
  </si>
  <si>
    <t xml:space="preserve">  * 90 x 210</t>
  </si>
  <si>
    <t>Fenêtre</t>
  </si>
  <si>
    <t>Fenêtre métallique de deux battants</t>
  </si>
  <si>
    <t>8.1.3</t>
  </si>
  <si>
    <t>8.1.3.1</t>
  </si>
  <si>
    <t>Grès cerame 15x15 cm pour placard et console</t>
  </si>
  <si>
    <t>8.1.3.2</t>
  </si>
  <si>
    <t>faîence h=1 m</t>
  </si>
  <si>
    <t xml:space="preserve">Vinyl sur murs extérieurs  </t>
  </si>
  <si>
    <t>9.1.2</t>
  </si>
  <si>
    <t>Peinture glycérophtalique sur soubassement et parties courantes</t>
  </si>
  <si>
    <t>9.2</t>
  </si>
  <si>
    <t>9.2.1</t>
  </si>
  <si>
    <t>Vinyl sur murs intérieurs 2 couches</t>
  </si>
  <si>
    <t>9.2.2</t>
  </si>
  <si>
    <t xml:space="preserve">Vinyl faux plafond et séparateur de placard en c/p, 2 couches </t>
  </si>
  <si>
    <t>9.3</t>
  </si>
  <si>
    <t>9.3.1</t>
  </si>
  <si>
    <t xml:space="preserve">Peinture glycérophtalique sur portes et fenêtres metalliques </t>
  </si>
  <si>
    <t>Total Cantine</t>
  </si>
  <si>
    <t>MONTANT TOTAL DU MARCHE</t>
  </si>
  <si>
    <t>CONSTRUCTION DE TROIS SALLES  CLASSES + BUREAU</t>
  </si>
  <si>
    <t>CONSTRUCTION DE CANTINE</t>
  </si>
  <si>
    <r>
      <t>m</t>
    </r>
    <r>
      <rPr>
        <vertAlign val="superscript"/>
        <sz val="11"/>
        <rFont val="Calibri"/>
        <family val="2"/>
        <scheme val="minor"/>
      </rPr>
      <t>3</t>
    </r>
  </si>
  <si>
    <r>
      <t>m</t>
    </r>
    <r>
      <rPr>
        <vertAlign val="superscript"/>
        <sz val="11"/>
        <rFont val="Calibri"/>
        <family val="2"/>
        <scheme val="minor"/>
      </rPr>
      <t>2</t>
    </r>
  </si>
  <si>
    <t>2.3.4.3</t>
  </si>
  <si>
    <t>- Tableau synoptique de 3,00 x 140 pour classes et bureau</t>
  </si>
  <si>
    <t>TOTAL 3 CLASSES + BUREAU</t>
  </si>
  <si>
    <t>TRAVAUX PRELIMINAIRES ET ASSAINISSEMENT</t>
  </si>
  <si>
    <t>1.2.1</t>
  </si>
  <si>
    <t xml:space="preserve">Fouille en excavation </t>
  </si>
  <si>
    <t>1.2.2</t>
  </si>
  <si>
    <t>Remblais de terre autour de la fosse</t>
  </si>
  <si>
    <t>SOUS/TOTAL terrassement</t>
  </si>
  <si>
    <t>TOTAL TRAVAUX PRELIMINAIRES ET ASSAINISSEMENT</t>
  </si>
  <si>
    <t xml:space="preserve"> MACONNERIE BETON ARME</t>
  </si>
  <si>
    <t>2.1.1</t>
  </si>
  <si>
    <t>2.1.1.1</t>
  </si>
  <si>
    <t xml:space="preserve"> - Agglos pleins de 15 en ciment</t>
  </si>
  <si>
    <t>2.1.1.2</t>
  </si>
  <si>
    <t xml:space="preserve"> - Raidisseur en béton armé dosé à 350 kg/m3</t>
  </si>
  <si>
    <t>2.1.1.3</t>
  </si>
  <si>
    <t>- Dallage en B.A de 15 cm</t>
  </si>
  <si>
    <t xml:space="preserve">         * Aciers Tors HA 12 kg/m3</t>
  </si>
  <si>
    <t>2.1.1.4</t>
  </si>
  <si>
    <t xml:space="preserve">        * Béton</t>
  </si>
  <si>
    <t xml:space="preserve">        * Aciers Tors HA  80 kg/m3</t>
  </si>
  <si>
    <t xml:space="preserve">        * Coffrage 12 m2/m3</t>
  </si>
  <si>
    <t>2.1.2</t>
  </si>
  <si>
    <t>2.1.2.1</t>
  </si>
  <si>
    <t>2.1.2.2</t>
  </si>
  <si>
    <t>- Raidisseur en béton armé dosé à 350 kg/m3</t>
  </si>
  <si>
    <t>2.1.2.3</t>
  </si>
  <si>
    <t>- Chainage haut en béton armé dosé à 350 kg/m3</t>
  </si>
  <si>
    <t>2.1.2.4</t>
  </si>
  <si>
    <t xml:space="preserve">         * Enduits dosés à 250 kg/m3 </t>
  </si>
  <si>
    <t>2.1.2.5</t>
  </si>
  <si>
    <t>Claustras de 24 x 24 carré, type projet BAD</t>
  </si>
  <si>
    <r>
      <t>m</t>
    </r>
    <r>
      <rPr>
        <vertAlign val="superscript"/>
        <sz val="12"/>
        <rFont val="Arial "/>
      </rPr>
      <t>2</t>
    </r>
  </si>
  <si>
    <t>2.2</t>
  </si>
  <si>
    <t xml:space="preserve"> Escalier en agglos pleins de 15 cm d'épaisseur</t>
  </si>
  <si>
    <t>Panne de 8 x 8cm</t>
  </si>
  <si>
    <t>5.1.1.1</t>
  </si>
  <si>
    <t>5.1.2</t>
  </si>
  <si>
    <t>5.1.2.1</t>
  </si>
  <si>
    <t>5.1.4</t>
  </si>
  <si>
    <t>Acessoires de pose</t>
  </si>
  <si>
    <t>5.1.4.1</t>
  </si>
  <si>
    <t>Tire- fonds complets</t>
  </si>
  <si>
    <t>6.1</t>
  </si>
  <si>
    <t>6.1.1</t>
  </si>
  <si>
    <t>Etanchéité sur les têtes des tire-fonds</t>
  </si>
  <si>
    <t>Portes metalliques</t>
  </si>
  <si>
    <t>Porte métallique tôlée sur une face</t>
  </si>
  <si>
    <t xml:space="preserve">  * 70 x 200</t>
  </si>
  <si>
    <t>PLOMBERIE SANITAIRE</t>
  </si>
  <si>
    <t>8.1</t>
  </si>
  <si>
    <t xml:space="preserve"> PLOMBERIE</t>
  </si>
  <si>
    <t>8.1.1</t>
  </si>
  <si>
    <t>Appareillage</t>
  </si>
  <si>
    <t>8.1.1.1</t>
  </si>
  <si>
    <t>8.1.1.2</t>
  </si>
  <si>
    <t>TOTAL PLOMBERIE</t>
  </si>
  <si>
    <t xml:space="preserve">Grès cerame 15x15 cm au sol </t>
  </si>
  <si>
    <t>9.1.1.2</t>
  </si>
  <si>
    <t>Vernis marin sur mur en BTCS (intérieur et extérieur)</t>
  </si>
  <si>
    <t xml:space="preserve"> - Peinture glycérophtalique sur portes métalliques</t>
  </si>
  <si>
    <t>Nettoyage et décapage du terrain</t>
  </si>
  <si>
    <t>Nettoyage et décapage</t>
  </si>
  <si>
    <t xml:space="preserve"> - Fouilles en rigole pour terrasse 85 x 60 cm</t>
  </si>
  <si>
    <t xml:space="preserve"> - Dallage au sol en béton armé dosé à 300 kg/m3 ép=10cm</t>
  </si>
  <si>
    <t xml:space="preserve"> - Mur en agglos creux de 15 cm d'épaisseur</t>
  </si>
  <si>
    <t>Tôle onduilée colorée ht= 40 cm</t>
  </si>
  <si>
    <t>Porte métallique  146 x 220 pour classes</t>
  </si>
  <si>
    <t>Tableau</t>
  </si>
  <si>
    <t>Coefficient d'éloignement</t>
  </si>
  <si>
    <t>TOTAL GENERAL 3 CLASSES + BUREAU HT</t>
  </si>
  <si>
    <t>Linéaire de fouille</t>
  </si>
  <si>
    <t>Escalier en agglos pleins de 15 d'épaisseur</t>
  </si>
  <si>
    <t>Fouilles en rigole 85 x 60 cm</t>
  </si>
  <si>
    <t xml:space="preserve">         * Aciers Tors HA  80 kg/m3</t>
  </si>
  <si>
    <t xml:space="preserve">Devis de constructoin d'une cantine </t>
  </si>
  <si>
    <t xml:space="preserve">         * Bordure en agglo 10 ordinaire en mortier de ciment y compris fouilles, pose sur béton de propreté, enduit et peinture en façade avant et arrière</t>
  </si>
  <si>
    <t>TOTAL MARCHE HT</t>
  </si>
  <si>
    <r>
      <t>N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 xml:space="preserve"> D'ORD.</t>
    </r>
  </si>
  <si>
    <t>Porte métallique  90 x 220 pour classes et bureau + magasin</t>
  </si>
  <si>
    <t xml:space="preserve">Pour les salles de classe et bureau 200 x 140 </t>
  </si>
  <si>
    <r>
      <t>N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 D'ORD.</t>
    </r>
  </si>
  <si>
    <t xml:space="preserve"> - Dallage au sol en béton armé dosé à 300 kg/m3</t>
  </si>
  <si>
    <t xml:space="preserve"> - Agglos creux de 15 cm d'épaisseur en BTC</t>
  </si>
  <si>
    <t>Tôle onduilée  ht= 40 cm</t>
  </si>
  <si>
    <t>Pour les salles de classe</t>
  </si>
  <si>
    <t>TOTAL 3 CLASSES</t>
  </si>
  <si>
    <t>TOTAL GENERAL 3 CLASSES HT</t>
  </si>
  <si>
    <t xml:space="preserve">CONSTRUCTION DE TROIS SALLES  CLASSES </t>
  </si>
  <si>
    <t>Porte métallique  90 x 220 pour classes</t>
  </si>
  <si>
    <t xml:space="preserve"> - Amorce des poteaux en BA dosé à 350 kg/m3</t>
  </si>
  <si>
    <t xml:space="preserve"> - Chaînage bas en B.A dosé à 350 kg/m3</t>
  </si>
  <si>
    <t xml:space="preserve">         * Aciers Tors HA  60 kg/m3</t>
  </si>
  <si>
    <t xml:space="preserve">Construction de 3 blocs de latrine 2 cabines à fosse sèche (FS) en BTCS avec dispositif de lavage de mains </t>
  </si>
  <si>
    <t>Fosse de 2,59 m x 2,00 m, profondeur: 3 m</t>
  </si>
  <si>
    <t xml:space="preserve">         * Enduits int. 1 face dosés à 250 kg/m3 </t>
  </si>
  <si>
    <t>- Dalettes de fermeture en béton armé ép = 10 cm</t>
  </si>
  <si>
    <t>2.1.1.5</t>
  </si>
  <si>
    <t xml:space="preserve">Chape ciment lissée  dosé à 300 kg/m3 </t>
  </si>
  <si>
    <t>- Briques en terre comprimées et stabilisées</t>
  </si>
  <si>
    <t>ASSAINISSEMENT SECONDAIRE</t>
  </si>
  <si>
    <t xml:space="preserve"> * Dim. 60 x 90</t>
  </si>
  <si>
    <t>TOTAL ASSAINISSEMENT SECONDAIRE</t>
  </si>
  <si>
    <t>Bardage en tôle bac aluzinc 7/10 ht=30</t>
  </si>
  <si>
    <t xml:space="preserve">Fourniture et pose de wc turque en porcelaine </t>
  </si>
  <si>
    <t xml:space="preserve">Tube pcv pour ventilation des fosses diam 80 y/c tout accésoire de pose </t>
  </si>
  <si>
    <t xml:space="preserve">Fourniture et installation d'un dispositif de lavage des mains mobile à pédale </t>
  </si>
  <si>
    <t>Faîence h=1 m (intérieur-extérieur cabine et dégagement)</t>
  </si>
  <si>
    <t>- Vernis acrylique 380 d'imprégnation sur BTCS</t>
  </si>
  <si>
    <t xml:space="preserve"> - Peinture glycérophtalique sur ouvrage en béton armé</t>
  </si>
  <si>
    <t>Total bloc latrine à 2 cabines à fosse sèche avec dispositif de lave-main</t>
  </si>
  <si>
    <t xml:space="preserve">Nombre de blocs </t>
  </si>
  <si>
    <t>MONTANT LATRINE 3 BLOCS DE 2 CABINES HT</t>
  </si>
  <si>
    <t>Coéfficient d'éloignement</t>
  </si>
  <si>
    <t>2.2.2.2</t>
  </si>
  <si>
    <t>2.2.2.4</t>
  </si>
  <si>
    <t>2.3.4.1</t>
  </si>
  <si>
    <t>6.1.2</t>
  </si>
  <si>
    <t>6.2</t>
  </si>
  <si>
    <t>6.2.1</t>
  </si>
  <si>
    <t>6.3</t>
  </si>
  <si>
    <t>6.3.1</t>
  </si>
  <si>
    <t>7.1.2</t>
  </si>
  <si>
    <t>7.3</t>
  </si>
  <si>
    <t>7.4</t>
  </si>
  <si>
    <t>7.3.1</t>
  </si>
  <si>
    <t>7.4.1</t>
  </si>
  <si>
    <t>7.4.2</t>
  </si>
  <si>
    <t>FORAGE A ENERGIE SOLAIRE</t>
  </si>
  <si>
    <t>Placards en maçonnerie des classes et bureaux (140 cm x 200 cm) avec dalette et étagères en BA</t>
  </si>
  <si>
    <t>Bibliothèques en maçonnerie des classes et bureaux (140 cm x 200 cm) avec dalette et étagères en BA</t>
  </si>
  <si>
    <t>- Tableau de 6,00 x 140 avec pose craie pour classes</t>
  </si>
  <si>
    <t>Enduit pentécôte sur mur pour tableau</t>
  </si>
  <si>
    <t>Placards et bibliothèques en maçonnerie des classes et bureaux (140 cm x 200 cm) avec dalette et étagères en BA</t>
  </si>
  <si>
    <t>- Tableau synoptique de 3,00 x 140 pour bueaur et classes</t>
  </si>
  <si>
    <t>VITRERIE</t>
  </si>
  <si>
    <t>TOTAL VITRERIE</t>
  </si>
  <si>
    <t>Antivol en tube carré ép=3</t>
  </si>
  <si>
    <t>Antivol pour fénêtres de bureau</t>
  </si>
  <si>
    <t>Fenêtres vitrées type naco</t>
  </si>
  <si>
    <t>Cadre en bois rouge</t>
  </si>
  <si>
    <t>Naco en allu</t>
  </si>
  <si>
    <t xml:space="preserve">Vitre </t>
  </si>
  <si>
    <t>Verre claire de largeur 15</t>
  </si>
  <si>
    <t>TOTAL AMENAGEMENT DE JEUX</t>
  </si>
  <si>
    <t>Apport de sable fin de testure blanche</t>
  </si>
  <si>
    <t>Fourniture et pose de pneuds usés diamètre 65</t>
  </si>
  <si>
    <t>EQUIPEMENT DE TERRAIN</t>
  </si>
  <si>
    <t>TRAVAUX D'AMENAGEMENT D'AIRE DE JEUX</t>
  </si>
  <si>
    <t xml:space="preserve">Application de peinture multicollore sur les pneuds </t>
  </si>
  <si>
    <t>Construction de trois bacs à sable (L= 20m, l=15m) bordé de pneud hors usagés (voir photo jointe)</t>
  </si>
  <si>
    <t>Décapage sur toute la surface aire de jeux à 20 cm</t>
  </si>
  <si>
    <t>AMENAGEMENT AIRE DE JEUX</t>
  </si>
  <si>
    <r>
      <t>N</t>
    </r>
    <r>
      <rPr>
        <b/>
        <sz val="12"/>
        <rFont val="Calibri"/>
        <family val="2"/>
      </rPr>
      <t>°</t>
    </r>
    <r>
      <rPr>
        <b/>
        <sz val="12"/>
        <rFont val="Arial"/>
        <family val="2"/>
      </rPr>
      <t xml:space="preserve"> D'ORD.</t>
    </r>
  </si>
  <si>
    <t>LOT 1 - TRAVAUX PRELIMINAIRES</t>
  </si>
  <si>
    <t xml:space="preserve"> - Installation de chantier</t>
  </si>
  <si>
    <t>f</t>
  </si>
  <si>
    <t>SOUS/TOTAL Travaux Preliminaires</t>
  </si>
  <si>
    <t>LOT 2 - GROS OEUVRES</t>
  </si>
  <si>
    <t xml:space="preserve"> - Fouilles en rigole pour terrasse 50 x 60 cm</t>
  </si>
  <si>
    <t>SOUS/TOTAL  des Terrassements</t>
  </si>
  <si>
    <t>FONDATION (terrasse à créer)</t>
  </si>
  <si>
    <t xml:space="preserve"> - Gros béton de semelle filante dosé à 350 kg/m3</t>
  </si>
  <si>
    <t>2.2.1.2.2</t>
  </si>
  <si>
    <t xml:space="preserve">         * Aciers Tors HA  40 kg/m3</t>
  </si>
  <si>
    <t>2.2.1.2.3</t>
  </si>
  <si>
    <t xml:space="preserve">         * Coffrage  2 m2/m3</t>
  </si>
  <si>
    <t xml:space="preserve"> - Amorce de poteaux 15x20 cm en BA dosé à 350 kg/m3 </t>
  </si>
  <si>
    <t xml:space="preserve"> - Chaînage bas en B.A dosé à 300 kg/m3</t>
  </si>
  <si>
    <t xml:space="preserve"> - Agglos pleins de 15</t>
  </si>
  <si>
    <t xml:space="preserve"> - Dallage au sol en béton armé dosé à 250 kg/m3</t>
  </si>
  <si>
    <t xml:space="preserve">         * démolition de dallage </t>
  </si>
  <si>
    <t>2.2.1.6.2</t>
  </si>
  <si>
    <t xml:space="preserve">         * Béton y/c compris chape bouchardée</t>
  </si>
  <si>
    <t>2.2.1.6.3</t>
  </si>
  <si>
    <t xml:space="preserve">         * Armature en treilli de fer diam.6, 3 kg/m²</t>
  </si>
  <si>
    <t>2.2.1.6.4</t>
  </si>
  <si>
    <t>2.2.1.7.1</t>
  </si>
  <si>
    <t xml:space="preserve">         * Bordure en agglo 10 ordinaire en mortier de ciment y compris fouilles, pose sur béton de propreté, enduit et peinture en façade arrière</t>
  </si>
  <si>
    <t>2.2.1.7.2</t>
  </si>
  <si>
    <t>2.2.1.7.3</t>
  </si>
  <si>
    <t xml:space="preserve"> - Bac à fleur en briques </t>
  </si>
  <si>
    <t xml:space="preserve">         * Bordure en agglo 10 ordinaire en mortier de ciment y compris fouilles, pose sur béton de propreté, apport de terre et planting de fleur, enduit et peinture en façade avant </t>
  </si>
  <si>
    <t>ELEVATION (réhausse de mur et pignon)</t>
  </si>
  <si>
    <t xml:space="preserve"> - Démolition de mur pignon pour réhausse des murs </t>
  </si>
  <si>
    <t xml:space="preserve"> - Agglos creux de 15 d'épaisseur de trois rangées y/c pignon</t>
  </si>
  <si>
    <t xml:space="preserve"> - Traitement des fissures</t>
  </si>
  <si>
    <t xml:space="preserve"> - démolition de mur pour poteaux et raidisseurs</t>
  </si>
  <si>
    <t xml:space="preserve"> - Insertion de 25 poteaux 15x20 cm en BA dosé à 350 kg/m3 ferraillés de 6 HA 10</t>
  </si>
  <si>
    <t>2.2.2.4.1</t>
  </si>
  <si>
    <t>2.2.2.4.2</t>
  </si>
  <si>
    <t>2.2.2.4.3</t>
  </si>
  <si>
    <t xml:space="preserve"> - Appui de baies en BA dosé à 350 kg/m3</t>
  </si>
  <si>
    <t>2.2.2.6.1</t>
  </si>
  <si>
    <t>2.2.2.6.2</t>
  </si>
  <si>
    <t xml:space="preserve">         * Aciers Tors HA 40 kg/m3</t>
  </si>
  <si>
    <t>2.2.2.6.3</t>
  </si>
  <si>
    <t xml:space="preserve"> - Couronnement des murs et pignons en fixation des ferrures</t>
  </si>
  <si>
    <t xml:space="preserve">   en BA dosé à 350 kg/m3</t>
  </si>
  <si>
    <t>2.2.2.7.1</t>
  </si>
  <si>
    <t>2.2.2.7.2</t>
  </si>
  <si>
    <t>2.2.2.7.3</t>
  </si>
  <si>
    <t xml:space="preserve"> - Console en BA dosé à 350 kg/m3</t>
  </si>
  <si>
    <t xml:space="preserve"> * Enduits ext. dosés à 250 kg/m3 sur maçonnerie</t>
  </si>
  <si>
    <t>2.2.2.9.2</t>
  </si>
  <si>
    <t xml:space="preserve"> * Enduits int. dosés à 250 kg/m3 </t>
  </si>
  <si>
    <t>2.2.2.12</t>
  </si>
  <si>
    <t>Démolition de claustras existant et aggrandissement de baie</t>
  </si>
  <si>
    <t>Claustras de 22 x 22x20, type projet BAD dim (250 * 120)</t>
  </si>
  <si>
    <t xml:space="preserve"> - Placards en maçonnerie (classes + bureau) 140 x 210</t>
  </si>
  <si>
    <t xml:space="preserve"> - Bibliothèque en maçonnerie (classes) 140 x 210</t>
  </si>
  <si>
    <t>2.3.1.1</t>
  </si>
  <si>
    <t xml:space="preserve"> - Démolition d'escaliers existants</t>
  </si>
  <si>
    <t>2.3.1.2</t>
  </si>
  <si>
    <t xml:space="preserve"> - Remblai  sous les marches</t>
  </si>
  <si>
    <t>2.3.1.3</t>
  </si>
  <si>
    <t>2.3.1.5</t>
  </si>
  <si>
    <t>Les marches en béton dosé à 350 kg/m3</t>
  </si>
  <si>
    <t>2.3.1.5.1</t>
  </si>
  <si>
    <t>2.3.1.5.2</t>
  </si>
  <si>
    <t>2.3.1.6</t>
  </si>
  <si>
    <t>Enduits des marches</t>
  </si>
  <si>
    <t>2.3.2.1</t>
  </si>
  <si>
    <t>2.3.2.2</t>
  </si>
  <si>
    <t>2.3.2.3</t>
  </si>
  <si>
    <t>2.3.2.4</t>
  </si>
  <si>
    <t>Rampe en BA dosé à 350 kg/m3</t>
  </si>
  <si>
    <t>2.3.2.5.1</t>
  </si>
  <si>
    <t>2.3.2.5.2</t>
  </si>
  <si>
    <t>2.3.2.5.3</t>
  </si>
  <si>
    <t xml:space="preserve">Dalettes de couverture pour placard et bibliothèque </t>
  </si>
  <si>
    <t>en BA dosé à 350 kg/m3, ép =5 cm</t>
  </si>
  <si>
    <t xml:space="preserve">         * Coffrage soigné 2 m2/m3</t>
  </si>
  <si>
    <t>Etagères en BA  pour placard et bibliothèque, ép=5cm</t>
  </si>
  <si>
    <t>2.3.6</t>
  </si>
  <si>
    <t>2.3.6.1</t>
  </si>
  <si>
    <t>Démolition des tableau existants</t>
  </si>
  <si>
    <t>Tableau de 6 x 140 avec pose craie</t>
  </si>
  <si>
    <t>F/P de pose craie en planche 15 cm</t>
  </si>
  <si>
    <t>2.3.6.3</t>
  </si>
  <si>
    <t>Tableau synoptique  300 x 140</t>
  </si>
  <si>
    <t xml:space="preserve"> SOUS/TOTAL Gros Oeuvres</t>
  </si>
  <si>
    <t xml:space="preserve"> LOT 3 - CHARPENTE BOIS</t>
  </si>
  <si>
    <t>Dépose de la charpente et couverture</t>
  </si>
  <si>
    <t>ens</t>
  </si>
  <si>
    <t>Arbaletrier en planche de 3 x 4 x 20 cm</t>
  </si>
  <si>
    <t>Entrait en planche de  3 x 4 x 20 cm</t>
  </si>
  <si>
    <t>3.1.4</t>
  </si>
  <si>
    <t>Jambette en planche de  3 x 30 cm</t>
  </si>
  <si>
    <t>3.1.5</t>
  </si>
  <si>
    <t>Contre- fiche en planche   4 x 20 cm</t>
  </si>
  <si>
    <t>3.1.6</t>
  </si>
  <si>
    <t>Panne de 6 x 11cm</t>
  </si>
  <si>
    <t>3.1.7</t>
  </si>
  <si>
    <t>pqt</t>
  </si>
  <si>
    <t>SOUS/TOTAL Charpente Bois</t>
  </si>
  <si>
    <t>LOT 4 - COUVERTURE</t>
  </si>
  <si>
    <t>4.1.1.2</t>
  </si>
  <si>
    <t>Couverture en tole bac alu colorée 7/10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</si>
  <si>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colorée 7/10 y/c tire-fonds</t>
    </r>
  </si>
  <si>
    <t>SOUS/TOTAL Couverture</t>
  </si>
  <si>
    <t>LOT 5 - ETANCHEITE</t>
  </si>
  <si>
    <t xml:space="preserve"> Etanchéité Toiture sur les têtes des tire-fonds</t>
  </si>
  <si>
    <r>
      <t>SOUS/TOTAL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</si>
  <si>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LOT 6 -  MENUISERIE BOIS ET VITRERIE</t>
  </si>
  <si>
    <t xml:space="preserve"> Menuiserie bois</t>
  </si>
  <si>
    <t xml:space="preserve">Dépose de porte en bois </t>
  </si>
  <si>
    <t>Porte bois plein y compris cadre</t>
  </si>
  <si>
    <t>6.1.2.1</t>
  </si>
  <si>
    <t xml:space="preserve">  * 120 x 210</t>
  </si>
  <si>
    <t>6.1.2.2</t>
  </si>
  <si>
    <t xml:space="preserve"> Vitrerie</t>
  </si>
  <si>
    <t>Fenêtre vitrée</t>
  </si>
  <si>
    <t>6.2.1.1</t>
  </si>
  <si>
    <t>Chassis de 6 lames de type  naco, par paire</t>
  </si>
  <si>
    <t>6.2.1.2</t>
  </si>
  <si>
    <t>Verre clair de 6 mm</t>
  </si>
  <si>
    <t>SOUS/TOTAL Menuiserie bois- vitrerie</t>
  </si>
  <si>
    <t>LOT 7 - FAUX PLAFOND EN CP 8 mm</t>
  </si>
  <si>
    <t>Ossature en chevron de 6 x4 pour les classes</t>
  </si>
  <si>
    <t>Ossature en chevron de 6 x4 pour bureau et magasin</t>
  </si>
  <si>
    <t xml:space="preserve">Faux plafond en contre- plaqué de 8 mm, </t>
  </si>
  <si>
    <t>Dépose de faux plafond</t>
  </si>
  <si>
    <t>Pose de faux plafond en cp 8 mm y/c ossature et baguettes</t>
  </si>
  <si>
    <t>SOUS/TOTAL Faux Plafond en CP 8 mm</t>
  </si>
  <si>
    <t>LOT 8 -  MENUISERIE METALLIQUE Y/C SERRURERIE</t>
  </si>
  <si>
    <t>Porte métallique  140 x 220 pour classes</t>
  </si>
  <si>
    <t>8.1.1,1</t>
  </si>
  <si>
    <t>Porte métallique  90 x 200 pour bureau</t>
  </si>
  <si>
    <t>8.2</t>
  </si>
  <si>
    <t>8.2.1</t>
  </si>
  <si>
    <t>Porte metallique pour bureau et magasin</t>
  </si>
  <si>
    <t>8.2.2</t>
  </si>
  <si>
    <t>8.3</t>
  </si>
  <si>
    <t>Anti - vol métallique</t>
  </si>
  <si>
    <t>8.3.1</t>
  </si>
  <si>
    <t xml:space="preserve">Anti - vol pour fenêtre </t>
  </si>
  <si>
    <t>8.3.1.1</t>
  </si>
  <si>
    <t xml:space="preserve">   * 120 x 110</t>
  </si>
  <si>
    <t>8.4</t>
  </si>
  <si>
    <t>Portillons metalliques pour cloture</t>
  </si>
  <si>
    <t>8.4.1</t>
  </si>
  <si>
    <t>Portillon sur la galerie      90x150</t>
  </si>
  <si>
    <t>8.4.2</t>
  </si>
  <si>
    <t>Portillon sur la coursive 140x150</t>
  </si>
  <si>
    <t>SOUS/TOTAL Serrurerie</t>
  </si>
  <si>
    <t>LOT 9 - PLOMBRIE - SANITAIRE (sans objet)</t>
  </si>
  <si>
    <t>LOT 10 - ELECTRICITE</t>
  </si>
  <si>
    <t>CIRCUIT ELECTRIQUE</t>
  </si>
  <si>
    <t>10.1.1bis</t>
  </si>
  <si>
    <t>Installation générale (sécurel, compteur, fillerie et appareillage)</t>
  </si>
  <si>
    <t xml:space="preserve"> SOUS/TOTAL Electricité</t>
  </si>
  <si>
    <t>lot 10 - PEINTURE</t>
  </si>
  <si>
    <t>11.1</t>
  </si>
  <si>
    <t>11.1.1</t>
  </si>
  <si>
    <t>11.1.2</t>
  </si>
  <si>
    <t>11.2</t>
  </si>
  <si>
    <t>11.2.1</t>
  </si>
  <si>
    <t>11.2.3</t>
  </si>
  <si>
    <t xml:space="preserve"> - Vinyl sur faux plafond en c/p , 2 couches, les classes</t>
  </si>
  <si>
    <t>11.3</t>
  </si>
  <si>
    <t>Vernis marin</t>
  </si>
  <si>
    <t>11.3.1</t>
  </si>
  <si>
    <t xml:space="preserve"> - Vernis marin sur murs extérieurs et intérieurs et claustras 2 couches</t>
  </si>
  <si>
    <t>11.4</t>
  </si>
  <si>
    <t>11.4.1</t>
  </si>
  <si>
    <t>11.5</t>
  </si>
  <si>
    <t>Ardoisine</t>
  </si>
  <si>
    <t>11.5.1</t>
  </si>
  <si>
    <t>Enduit pantecote sur tableau en ciment</t>
  </si>
  <si>
    <t>SOUS/TOTAL Peinture</t>
  </si>
  <si>
    <t xml:space="preserve">                ASSAINISSEMENT</t>
  </si>
  <si>
    <t xml:space="preserve"> - Gros béton de semelle filante dosé à 250 kg/m3</t>
  </si>
  <si>
    <t xml:space="preserve"> - Amorce des poteaux en BA dosé à 300 kg/m3</t>
  </si>
  <si>
    <t xml:space="preserve">         * Béton armé y/c compris chape bouchardée</t>
  </si>
  <si>
    <t xml:space="preserve">         * Armature en treilli de fer diam.6 3 kg/m²</t>
  </si>
  <si>
    <t xml:space="preserve"> - démolition de mur pignon pour réhausse des murs</t>
  </si>
  <si>
    <t xml:space="preserve"> - Agglos creux de 15 d'épaisseur pour réhausse et pignon</t>
  </si>
  <si>
    <t xml:space="preserve"> - démolition de magasin intermédiaire à la terrasse</t>
  </si>
  <si>
    <t xml:space="preserve"> - Chaînage bas et haut pour terrasse dosés à 350 kg/m3</t>
  </si>
  <si>
    <t xml:space="preserve"> - Placards en maçonnerie (classes + bureau) 14 x 210</t>
  </si>
  <si>
    <t>Tableau de 6 x 140</t>
  </si>
  <si>
    <t>2.3.6.2</t>
  </si>
  <si>
    <t xml:space="preserve">Tableau de 403 x 140 </t>
  </si>
  <si>
    <t xml:space="preserve"> tôle onduilée  ht= 40 cm</t>
  </si>
  <si>
    <t>Dépose de portes et fenêtres</t>
  </si>
  <si>
    <t>Pose de faux pland en cp de 8 mm</t>
  </si>
  <si>
    <t>LOT 8 -  SERRURERIE(y compris quincaillerie 1er choix)</t>
  </si>
  <si>
    <t>Porte métallique pour classes</t>
  </si>
  <si>
    <t>Porte métallique pour bureau</t>
  </si>
  <si>
    <t>Fenêtres et anti - vol métallique</t>
  </si>
  <si>
    <t xml:space="preserve">   * 100 x 100</t>
  </si>
  <si>
    <t>Installation générale (fillerie et appareillage)</t>
  </si>
  <si>
    <t>10.1.2 bis</t>
  </si>
  <si>
    <t>Boite de dérivation 196x152</t>
  </si>
  <si>
    <t>10.1.3 bis</t>
  </si>
  <si>
    <t>Boite  ronde encastrable 62x70x40</t>
  </si>
  <si>
    <t>10.1.4 bis</t>
  </si>
  <si>
    <t>Plaque vierge</t>
  </si>
  <si>
    <t>Enduit pantécôte sur tableau en ciment</t>
  </si>
  <si>
    <t xml:space="preserve">    BATIMENT 1 : TROIS CLASSES + BUREAU + 1 MAGASIN</t>
  </si>
  <si>
    <t>Dépose de portes et fenêtres métalliques</t>
  </si>
  <si>
    <t>8.1.2</t>
  </si>
  <si>
    <t>8.2.3</t>
  </si>
  <si>
    <t>8.3.2</t>
  </si>
  <si>
    <t>TOTAL BATIMENT 1 : TROIS CLASSES + BUREAU + 1 MAGASIN</t>
  </si>
  <si>
    <t xml:space="preserve">    BATIMENT 2 (Maternelle) : TROIS CLASSES + BUREAU + 1 MAGASIN</t>
  </si>
  <si>
    <t>TOTAL BATIMENT 2 (Maternelle) : TROIS CLASSES + BUREAU + 1 MAGASIN</t>
  </si>
  <si>
    <t xml:space="preserve">    BATIMENT 3 : TROIS CLASSES + BUREAU + 1 MAGASIN</t>
  </si>
  <si>
    <t>TOTAL BATIMENT 3 : TROIS CLASSES + BUREAU + 1 MAGASIN</t>
  </si>
  <si>
    <t xml:space="preserve">    BATIMENT 4 : TROIS CLASSES </t>
  </si>
  <si>
    <t>Révision des portes métalliques</t>
  </si>
  <si>
    <t xml:space="preserve">TOTAL BATIMENT 4 : TROIS CLASSES </t>
  </si>
  <si>
    <t>Coéficient d'éloignement</t>
  </si>
  <si>
    <t xml:space="preserve"> REHABILITATION 12 CLASSES + 3 BUREAUX  A TCHEMESSON : 
GROUPE SCOLAIRE DJIROUZON</t>
  </si>
  <si>
    <t xml:space="preserve">TOTAL REHABILITATION 12 CLASSES + 3 BUREAUX </t>
  </si>
  <si>
    <t>REHABILITATION DE 12 SALLES  DE CLASSES + BUREAUX</t>
  </si>
  <si>
    <t>RECAPITULATIF LOT 1 TCHEMESSON</t>
  </si>
  <si>
    <t>TOTAL HT</t>
  </si>
  <si>
    <t>COEFFICIENT D'ELOIGNEMENT</t>
  </si>
  <si>
    <r>
      <rPr>
        <b/>
        <sz val="11"/>
        <rFont val="Arial"/>
        <family val="2"/>
      </rPr>
      <t>TOTAL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>HT</t>
    </r>
  </si>
  <si>
    <t xml:space="preserve">Peinture glycéro sur maçonnerie et ménuiserie métallique </t>
  </si>
  <si>
    <t>F/P de porte métallique de 2,00 x 1,00 m</t>
  </si>
  <si>
    <t>Mur en élévation en agglos 15 creux de 2,00 m de haut</t>
  </si>
  <si>
    <t>Béton de chainage bas en BA</t>
  </si>
  <si>
    <t>Soubassement en agglos 15 plein</t>
  </si>
  <si>
    <t>Béton de semelle filante en BA</t>
  </si>
  <si>
    <t>Fouille en rigole 40 x 50 cm</t>
  </si>
  <si>
    <t>CLOTURE de 2,00 x 2,00 m</t>
  </si>
  <si>
    <t xml:space="preserve">    u</t>
  </si>
  <si>
    <t>Manifold DN 50 comprenant, un filtre, un compteur,</t>
  </si>
  <si>
    <r>
      <rPr>
        <sz val="9"/>
        <rFont val="Arial"/>
        <family val="2"/>
      </rPr>
      <t>Tête de forage en acier galvanisé DN 250</t>
    </r>
  </si>
  <si>
    <r>
      <rPr>
        <sz val="9"/>
        <rFont val="Arial"/>
        <family val="2"/>
      </rPr>
      <t>Margelle pour la pose de la tête de forage 1x1X0.5 m</t>
    </r>
  </si>
  <si>
    <r>
      <rPr>
        <sz val="9"/>
        <rFont val="Arial"/>
        <family val="2"/>
      </rPr>
      <t>Fourniture et pose d'une colonne d'exhaure en matériau flexible</t>
    </r>
  </si>
  <si>
    <r>
      <rPr>
        <sz val="9"/>
        <rFont val="Arial"/>
        <family val="2"/>
      </rPr>
      <t>Fourniture de câbles titanex</t>
    </r>
  </si>
  <si>
    <r>
      <rPr>
        <sz val="9"/>
        <rFont val="Arial"/>
        <family val="2"/>
      </rPr>
      <t>F/P de panneaux solaires et accessoires de pose</t>
    </r>
  </si>
  <si>
    <r>
      <rPr>
        <sz val="9"/>
        <rFont val="Arial"/>
        <family val="2"/>
      </rPr>
      <t>Pompe immergée de 2 à  3m</t>
    </r>
    <r>
      <rPr>
        <vertAlign val="superscript"/>
        <sz val="6"/>
        <rFont val="Arial"/>
        <family val="2"/>
      </rPr>
      <t>3</t>
    </r>
    <r>
      <rPr>
        <sz val="9"/>
        <rFont val="Arial"/>
        <family val="2"/>
      </rPr>
      <t>/h à 90 m de HMT,</t>
    </r>
  </si>
  <si>
    <t>ft</t>
  </si>
  <si>
    <r>
      <rPr>
        <sz val="9"/>
        <rFont val="Arial"/>
        <family val="2"/>
      </rPr>
      <t>Fourniture  et  pose  d'un  réservoir  de  3 m</t>
    </r>
    <r>
      <rPr>
        <vertAlign val="superscript"/>
        <sz val="6"/>
        <rFont val="Arial"/>
        <family val="2"/>
      </rPr>
      <t xml:space="preserve">3   </t>
    </r>
    <r>
      <rPr>
        <sz val="9"/>
        <rFont val="Arial"/>
        <family val="2"/>
      </rPr>
      <t>sur  support</t>
    </r>
    <r>
      <rPr>
        <sz val="10"/>
        <rFont val="Arial"/>
        <family val="2"/>
      </rPr>
      <t xml:space="preserve"> métallique (voir image en annexe</t>
    </r>
  </si>
  <si>
    <r>
      <rPr>
        <b/>
        <sz val="9"/>
        <rFont val="Arial"/>
        <family val="2"/>
      </rPr>
      <t>POMPE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IMERGEE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HYBRIDE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SOLAIRE</t>
    </r>
  </si>
  <si>
    <r>
      <rPr>
        <sz val="9"/>
        <rFont val="Arial"/>
        <family val="2"/>
      </rPr>
      <t>Analyse physico chimique et Microbiologique de l'eau</t>
    </r>
  </si>
  <si>
    <r>
      <rPr>
        <b/>
        <sz val="9"/>
        <rFont val="Arial"/>
        <family val="2"/>
      </rPr>
      <t>ANALYSE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L'EAU</t>
    </r>
  </si>
  <si>
    <r>
      <rPr>
        <sz val="9"/>
        <rFont val="Arial"/>
        <family val="2"/>
      </rPr>
      <t>Essai de pompage de 24 heures au moins avec remontée</t>
    </r>
  </si>
  <si>
    <r>
      <rPr>
        <b/>
        <sz val="9"/>
        <rFont val="Arial"/>
        <family val="2"/>
      </rPr>
      <t>TRAITEMENT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D'EAU</t>
    </r>
  </si>
  <si>
    <r>
      <rPr>
        <sz val="9"/>
        <rFont val="Arial"/>
        <family val="2"/>
      </rPr>
      <t>Remblai et cimentation en surface sur 5 mètres de profondeur</t>
    </r>
  </si>
  <si>
    <r>
      <rPr>
        <sz val="9"/>
        <rFont val="Arial"/>
        <family val="2"/>
      </rPr>
      <t>Gravillonnage de l'espace annulaire avec du gravier quartzeux roulé de
diamètre 2/4 mm</t>
    </r>
  </si>
  <si>
    <r>
      <rPr>
        <sz val="9"/>
        <rFont val="Arial"/>
        <family val="2"/>
      </rPr>
      <t>Fourniture et pose de pvc Ø 125/140 crépine de qualité alimentaire</t>
    </r>
  </si>
  <si>
    <r>
      <rPr>
        <sz val="9"/>
        <rFont val="Arial"/>
        <family val="2"/>
      </rPr>
      <t>Fourniture et pose de pvc Ø 125/140 plein de qualité alimentaire</t>
    </r>
  </si>
  <si>
    <t>TUBAGES</t>
  </si>
  <si>
    <r>
      <rPr>
        <sz val="9"/>
        <rFont val="Arial"/>
        <family val="2"/>
      </rPr>
      <t>Fonçage dans le socle</t>
    </r>
  </si>
  <si>
    <r>
      <rPr>
        <sz val="9"/>
        <rFont val="Arial"/>
        <family val="2"/>
      </rPr>
      <t>Fonçage dans l'altérite</t>
    </r>
  </si>
  <si>
    <t>FORATION</t>
  </si>
  <si>
    <r>
      <rPr>
        <sz val="9"/>
        <rFont val="Arial"/>
        <family val="2"/>
      </rPr>
      <t>Etude géomorphologique et hydrogéologique pour l’implantation du forage</t>
    </r>
  </si>
  <si>
    <r>
      <rPr>
        <b/>
        <sz val="9"/>
        <rFont val="Arial"/>
        <family val="2"/>
      </rPr>
      <t>ETUDE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GEOPHYSIQUE</t>
    </r>
  </si>
  <si>
    <t>Montant</t>
  </si>
  <si>
    <t>P.U</t>
  </si>
  <si>
    <t>Qté</t>
  </si>
  <si>
    <t>DESIGNATIONS</t>
  </si>
  <si>
    <t>N°</t>
  </si>
  <si>
    <r>
      <t>CONSTRUCTION  D'UN  FORAGE  AVEC ENERGIE SOLAIRE EQUIPE  ET  D'UN  RESERVOIR  DE  3  M</t>
    </r>
    <r>
      <rPr>
        <b/>
        <vertAlign val="superscript"/>
        <sz val="11"/>
        <rFont val="Arial"/>
        <family val="2"/>
      </rPr>
      <t xml:space="preserve">3   </t>
    </r>
    <r>
      <rPr>
        <b/>
        <sz val="11"/>
        <rFont val="Arial"/>
        <family val="2"/>
      </rPr>
      <t xml:space="preserve">POLY  TANK  SUR  UN  SUPPORT METALLIQUE  DE  5  M  DE  HAUT  
</t>
    </r>
  </si>
  <si>
    <t>CONSTRUCTION DE LATRINES</t>
  </si>
  <si>
    <t>Couverture en tole bac alu colorée ép 0,30/0,32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</si>
  <si>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colorée y/c tire-fonds</t>
    </r>
  </si>
  <si>
    <t>Couverture en tole bac alu colorée ép 0,3/0,32 y/c tire-fonds</t>
  </si>
  <si>
    <t>Couverture en tôle bac aluzinc colorée ép 0,30/0,32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</si>
  <si>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colorée y/c tire-fonds</t>
    </r>
  </si>
  <si>
    <t>Couverture en tole bac aluzinc ép 0,30/0,32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</si>
  <si>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 y/c tire-fonds</t>
    </r>
  </si>
  <si>
    <t>Tôle bac colorée  y/c toutes sujection de pose</t>
  </si>
  <si>
    <t>Couverture en tole bac aluzinc ép 0,30/0,32</t>
  </si>
  <si>
    <t>Nettoyage et décapage du terrain à la machine</t>
  </si>
  <si>
    <t xml:space="preserve">  CONSTRUCTION D'UN BATIMENT TROIS CLASSES + BUREAU (Nouvelle école)</t>
  </si>
  <si>
    <t xml:space="preserve">   CONSTRUCTION D'UN BATIMENT TROIS CLASSES (Nouvelle école)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</si>
</sst>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00"/>
    <numFmt numFmtId="166" formatCode="_-* #,##0_-;\-* #,##0_-;_-* &quot;-&quot;??_-;_-@_-"/>
    <numFmt numFmtId="167" formatCode="_-* #,##0.00\ _€_-;\-* #,##0.00\ _€_-;_-* &quot;-&quot;??\ _€_-;_-@_-"/>
    <numFmt numFmtId="168" formatCode="_-* #,##0\ _€_-;\-* #,##0\ _€_-;_-* &quot;-&quot;??\ _€_-;_-@_-"/>
  </numFmts>
  <fonts count="6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vertAlign val="superscript"/>
      <sz val="12"/>
      <name val="Calibri"/>
      <family val="2"/>
    </font>
    <font>
      <sz val="12"/>
      <name val="Calibri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"/>
    </font>
    <font>
      <sz val="11"/>
      <name val="Arial "/>
    </font>
    <font>
      <b/>
      <sz val="12"/>
      <name val="Arial "/>
    </font>
    <font>
      <b/>
      <i/>
      <sz val="12"/>
      <name val="Arial "/>
    </font>
    <font>
      <b/>
      <sz val="14"/>
      <name val="Arial "/>
    </font>
    <font>
      <i/>
      <sz val="12"/>
      <name val="Arial "/>
    </font>
    <font>
      <vertAlign val="superscript"/>
      <sz val="12"/>
      <name val="Arial "/>
    </font>
    <font>
      <sz val="10"/>
      <name val="Arial"/>
      <family val="2"/>
    </font>
    <font>
      <b/>
      <sz val="12"/>
      <color rgb="FF00B050"/>
      <name val="Arial"/>
      <family val="2"/>
    </font>
    <font>
      <b/>
      <i/>
      <sz val="11"/>
      <color rgb="FF92D05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i/>
      <sz val="12"/>
      <color rgb="FF00B050"/>
      <name val="Arial 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 "/>
    </font>
    <font>
      <sz val="12"/>
      <color rgb="FFFF0000"/>
      <name val="Arial"/>
      <family val="2"/>
    </font>
    <font>
      <b/>
      <sz val="11"/>
      <name val="Comic Sans MS"/>
      <family val="4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8"/>
      <color rgb="FF92D05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vertAlign val="superscript"/>
      <sz val="6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vertAlign val="superscript"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7FBF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5" fillId="0" borderId="0"/>
    <xf numFmtId="43" fontId="35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6" xfId="0" applyFont="1" applyBorder="1"/>
    <xf numFmtId="0" fontId="5" fillId="0" borderId="18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2" fontId="5" fillId="0" borderId="18" xfId="0" applyNumberFormat="1" applyFont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16" xfId="0" quotePrefix="1" applyFont="1" applyBorder="1"/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9" fillId="0" borderId="0" xfId="0" applyFont="1"/>
    <xf numFmtId="0" fontId="5" fillId="0" borderId="18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6" borderId="0" xfId="0" applyFont="1" applyFill="1"/>
    <xf numFmtId="0" fontId="5" fillId="6" borderId="18" xfId="0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5" fillId="6" borderId="0" xfId="0" applyFont="1" applyFill="1" applyAlignment="1">
      <alignment wrapText="1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0" fontId="6" fillId="6" borderId="19" xfId="0" applyFont="1" applyFill="1" applyBorder="1"/>
    <xf numFmtId="0" fontId="5" fillId="6" borderId="12" xfId="0" applyFont="1" applyFill="1" applyBorder="1" applyAlignment="1">
      <alignment horizontal="center"/>
    </xf>
    <xf numFmtId="0" fontId="1" fillId="6" borderId="0" xfId="0" applyFont="1" applyFill="1"/>
    <xf numFmtId="0" fontId="6" fillId="0" borderId="12" xfId="0" applyFont="1" applyBorder="1" applyAlignment="1">
      <alignment horizontal="left"/>
    </xf>
    <xf numFmtId="0" fontId="6" fillId="0" borderId="0" xfId="0" applyFont="1"/>
    <xf numFmtId="0" fontId="6" fillId="0" borderId="18" xfId="0" applyFont="1" applyBorder="1"/>
    <xf numFmtId="0" fontId="5" fillId="0" borderId="20" xfId="0" applyFont="1" applyBorder="1"/>
    <xf numFmtId="0" fontId="1" fillId="0" borderId="12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6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" fillId="0" borderId="18" xfId="0" applyFont="1" applyBorder="1"/>
    <xf numFmtId="165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7" borderId="10" xfId="0" applyFont="1" applyFill="1" applyBorder="1"/>
    <xf numFmtId="0" fontId="6" fillId="7" borderId="13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center"/>
    </xf>
    <xf numFmtId="2" fontId="6" fillId="7" borderId="10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/>
    </xf>
    <xf numFmtId="2" fontId="5" fillId="7" borderId="10" xfId="0" applyNumberFormat="1" applyFont="1" applyFill="1" applyBorder="1" applyAlignment="1">
      <alignment horizontal="center"/>
    </xf>
    <xf numFmtId="0" fontId="5" fillId="9" borderId="13" xfId="0" applyFont="1" applyFill="1" applyBorder="1"/>
    <xf numFmtId="0" fontId="6" fillId="9" borderId="14" xfId="0" applyFont="1" applyFill="1" applyBorder="1"/>
    <xf numFmtId="0" fontId="5" fillId="9" borderId="14" xfId="0" applyFont="1" applyFill="1" applyBorder="1" applyAlignment="1">
      <alignment horizontal="center"/>
    </xf>
    <xf numFmtId="2" fontId="6" fillId="9" borderId="14" xfId="0" applyNumberFormat="1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4" borderId="16" xfId="0" applyFont="1" applyFill="1" applyBorder="1" applyAlignment="1">
      <alignment horizontal="left"/>
    </xf>
    <xf numFmtId="0" fontId="6" fillId="4" borderId="16" xfId="0" applyFont="1" applyFill="1" applyBorder="1"/>
    <xf numFmtId="0" fontId="5" fillId="4" borderId="18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0" fontId="1" fillId="0" borderId="12" xfId="0" applyFont="1" applyBorder="1"/>
    <xf numFmtId="0" fontId="6" fillId="4" borderId="16" xfId="0" quotePrefix="1" applyFont="1" applyFill="1" applyBorder="1"/>
    <xf numFmtId="0" fontId="6" fillId="4" borderId="18" xfId="0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0" fontId="5" fillId="10" borderId="10" xfId="0" applyFont="1" applyFill="1" applyBorder="1"/>
    <xf numFmtId="0" fontId="6" fillId="10" borderId="13" xfId="0" applyFont="1" applyFill="1" applyBorder="1" applyAlignment="1">
      <alignment horizontal="right"/>
    </xf>
    <xf numFmtId="0" fontId="5" fillId="10" borderId="10" xfId="0" applyFont="1" applyFill="1" applyBorder="1" applyAlignment="1">
      <alignment horizontal="center"/>
    </xf>
    <xf numFmtId="2" fontId="6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2" fontId="5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left"/>
    </xf>
    <xf numFmtId="0" fontId="6" fillId="10" borderId="14" xfId="0" applyFont="1" applyFill="1" applyBorder="1" applyAlignment="1">
      <alignment horizontal="right"/>
    </xf>
    <xf numFmtId="0" fontId="12" fillId="0" borderId="0" xfId="0" applyFont="1"/>
    <xf numFmtId="0" fontId="6" fillId="0" borderId="19" xfId="0" applyFont="1" applyBorder="1"/>
    <xf numFmtId="49" fontId="5" fillId="0" borderId="0" xfId="0" applyNumberFormat="1" applyFont="1"/>
    <xf numFmtId="0" fontId="5" fillId="6" borderId="18" xfId="0" applyFont="1" applyFill="1" applyBorder="1" applyAlignment="1">
      <alignment horizontal="left"/>
    </xf>
    <xf numFmtId="0" fontId="6" fillId="11" borderId="18" xfId="0" applyFont="1" applyFill="1" applyBorder="1" applyAlignment="1">
      <alignment horizontal="left"/>
    </xf>
    <xf numFmtId="0" fontId="5" fillId="11" borderId="18" xfId="0" applyFont="1" applyFill="1" applyBorder="1" applyAlignment="1">
      <alignment horizontal="center"/>
    </xf>
    <xf numFmtId="2" fontId="5" fillId="11" borderId="18" xfId="0" applyNumberFormat="1" applyFont="1" applyFill="1" applyBorder="1" applyAlignment="1">
      <alignment horizontal="center"/>
    </xf>
    <xf numFmtId="0" fontId="6" fillId="11" borderId="18" xfId="0" applyFont="1" applyFill="1" applyBorder="1"/>
    <xf numFmtId="0" fontId="4" fillId="0" borderId="13" xfId="0" applyFont="1" applyBorder="1" applyAlignment="1">
      <alignment horizontal="right"/>
    </xf>
    <xf numFmtId="0" fontId="6" fillId="11" borderId="0" xfId="0" applyFont="1" applyFill="1"/>
    <xf numFmtId="0" fontId="6" fillId="11" borderId="16" xfId="0" applyFont="1" applyFill="1" applyBorder="1" applyAlignment="1">
      <alignment horizontal="left"/>
    </xf>
    <xf numFmtId="0" fontId="6" fillId="11" borderId="16" xfId="0" applyFont="1" applyFill="1" applyBorder="1" applyAlignment="1">
      <alignment wrapText="1"/>
    </xf>
    <xf numFmtId="0" fontId="6" fillId="11" borderId="18" xfId="0" applyFont="1" applyFill="1" applyBorder="1" applyAlignment="1">
      <alignment horizontal="center"/>
    </xf>
    <xf numFmtId="2" fontId="6" fillId="11" borderId="18" xfId="0" applyNumberFormat="1" applyFont="1" applyFill="1" applyBorder="1" applyAlignment="1">
      <alignment horizontal="center"/>
    </xf>
    <xf numFmtId="0" fontId="6" fillId="11" borderId="16" xfId="0" applyFont="1" applyFill="1" applyBorder="1"/>
    <xf numFmtId="0" fontId="6" fillId="6" borderId="16" xfId="0" applyFont="1" applyFill="1" applyBorder="1" applyAlignment="1">
      <alignment horizontal="left"/>
    </xf>
    <xf numFmtId="0" fontId="6" fillId="6" borderId="16" xfId="0" applyFont="1" applyFill="1" applyBorder="1"/>
    <xf numFmtId="0" fontId="5" fillId="6" borderId="16" xfId="0" applyFont="1" applyFill="1" applyBorder="1" applyAlignment="1">
      <alignment horizontal="left"/>
    </xf>
    <xf numFmtId="0" fontId="5" fillId="6" borderId="16" xfId="0" applyFont="1" applyFill="1" applyBorder="1"/>
    <xf numFmtId="49" fontId="13" fillId="0" borderId="0" xfId="0" applyNumberFormat="1" applyFont="1" applyAlignment="1">
      <alignment horizontal="left" vertical="top"/>
    </xf>
    <xf numFmtId="0" fontId="13" fillId="0" borderId="0" xfId="0" applyFont="1"/>
    <xf numFmtId="4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3" fontId="6" fillId="5" borderId="25" xfId="0" applyNumberFormat="1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top"/>
    </xf>
    <xf numFmtId="0" fontId="15" fillId="0" borderId="0" xfId="0" applyFont="1"/>
    <xf numFmtId="4" fontId="15" fillId="0" borderId="0" xfId="0" applyNumberFormat="1" applyFont="1"/>
    <xf numFmtId="0" fontId="14" fillId="2" borderId="5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3" fontId="15" fillId="4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0" fontId="15" fillId="6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4" fontId="15" fillId="6" borderId="1" xfId="0" applyNumberFormat="1" applyFont="1" applyFill="1" applyBorder="1"/>
    <xf numFmtId="3" fontId="15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right" vertical="top" wrapText="1"/>
    </xf>
    <xf numFmtId="3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right"/>
    </xf>
    <xf numFmtId="16" fontId="14" fillId="0" borderId="2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top" wrapText="1"/>
    </xf>
    <xf numFmtId="3" fontId="15" fillId="3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/>
    </xf>
    <xf numFmtId="0" fontId="17" fillId="0" borderId="3" xfId="0" applyFont="1" applyBorder="1"/>
    <xf numFmtId="0" fontId="15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 vertical="center"/>
    </xf>
    <xf numFmtId="1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4" fontId="15" fillId="0" borderId="1" xfId="0" applyNumberFormat="1" applyFont="1" applyBorder="1"/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9" fontId="15" fillId="6" borderId="2" xfId="0" applyNumberFormat="1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right" vertical="top" wrapText="1"/>
    </xf>
    <xf numFmtId="3" fontId="15" fillId="6" borderId="1" xfId="0" applyNumberFormat="1" applyFont="1" applyFill="1" applyBorder="1" applyAlignment="1">
      <alignment horizontal="right"/>
    </xf>
    <xf numFmtId="4" fontId="15" fillId="6" borderId="1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5" fillId="0" borderId="1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wrapText="1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0" fontId="14" fillId="5" borderId="1" xfId="0" applyFont="1" applyFill="1" applyBorder="1" applyAlignment="1">
      <alignment vertical="top" wrapText="1"/>
    </xf>
    <xf numFmtId="49" fontId="15" fillId="6" borderId="2" xfId="0" applyNumberFormat="1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 wrapText="1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3" fontId="14" fillId="5" borderId="1" xfId="0" applyNumberFormat="1" applyFont="1" applyFill="1" applyBorder="1" applyAlignment="1">
      <alignment horizontal="center"/>
    </xf>
    <xf numFmtId="0" fontId="19" fillId="0" borderId="0" xfId="0" applyFont="1"/>
    <xf numFmtId="0" fontId="5" fillId="6" borderId="13" xfId="0" applyFont="1" applyFill="1" applyBorder="1"/>
    <xf numFmtId="0" fontId="6" fillId="6" borderId="14" xfId="0" applyFont="1" applyFill="1" applyBorder="1" applyAlignment="1">
      <alignment horizontal="right"/>
    </xf>
    <xf numFmtId="0" fontId="5" fillId="6" borderId="14" xfId="0" applyFont="1" applyFill="1" applyBorder="1" applyAlignment="1">
      <alignment horizontal="center"/>
    </xf>
    <xf numFmtId="2" fontId="6" fillId="6" borderId="14" xfId="0" applyNumberFormat="1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0" fontId="28" fillId="9" borderId="14" xfId="3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vertical="center" wrapText="1"/>
    </xf>
    <xf numFmtId="10" fontId="29" fillId="5" borderId="4" xfId="0" applyNumberFormat="1" applyFont="1" applyFill="1" applyBorder="1" applyAlignment="1">
      <alignment vertical="center" wrapText="1"/>
    </xf>
    <xf numFmtId="0" fontId="7" fillId="0" borderId="0" xfId="0" applyFont="1"/>
    <xf numFmtId="0" fontId="6" fillId="0" borderId="12" xfId="0" applyFont="1" applyBorder="1" applyAlignment="1" applyProtection="1">
      <alignment horizontal="center" vertical="center" wrapText="1"/>
      <protection locked="0"/>
    </xf>
    <xf numFmtId="3" fontId="5" fillId="4" borderId="18" xfId="0" applyNumberFormat="1" applyFont="1" applyFill="1" applyBorder="1" applyAlignment="1" applyProtection="1">
      <alignment horizontal="center"/>
      <protection locked="0"/>
    </xf>
    <xf numFmtId="3" fontId="5" fillId="6" borderId="18" xfId="0" applyNumberFormat="1" applyFont="1" applyFill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3" fontId="6" fillId="0" borderId="18" xfId="0" applyNumberFormat="1" applyFont="1" applyBorder="1" applyAlignment="1" applyProtection="1">
      <alignment horizontal="center"/>
      <protection locked="0"/>
    </xf>
    <xf numFmtId="3" fontId="6" fillId="7" borderId="10" xfId="0" applyNumberFormat="1" applyFont="1" applyFill="1" applyBorder="1" applyAlignment="1" applyProtection="1">
      <alignment horizontal="center"/>
      <protection locked="0"/>
    </xf>
    <xf numFmtId="3" fontId="5" fillId="0" borderId="12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3" fontId="5" fillId="11" borderId="18" xfId="0" applyNumberFormat="1" applyFont="1" applyFill="1" applyBorder="1" applyAlignment="1" applyProtection="1">
      <alignment horizontal="center"/>
      <protection locked="0"/>
    </xf>
    <xf numFmtId="164" fontId="5" fillId="6" borderId="18" xfId="0" applyNumberFormat="1" applyFont="1" applyFill="1" applyBorder="1" applyAlignment="1" applyProtection="1">
      <alignment horizontal="center"/>
      <protection locked="0"/>
    </xf>
    <xf numFmtId="3" fontId="5" fillId="7" borderId="10" xfId="0" applyNumberFormat="1" applyFont="1" applyFill="1" applyBorder="1" applyAlignment="1" applyProtection="1">
      <alignment horizontal="center"/>
      <protection locked="0"/>
    </xf>
    <xf numFmtId="3" fontId="5" fillId="0" borderId="20" xfId="0" applyNumberFormat="1" applyFont="1" applyBorder="1" applyAlignment="1" applyProtection="1">
      <alignment horizontal="center"/>
      <protection locked="0"/>
    </xf>
    <xf numFmtId="3" fontId="6" fillId="10" borderId="10" xfId="0" applyNumberFormat="1" applyFont="1" applyFill="1" applyBorder="1" applyAlignment="1" applyProtection="1">
      <alignment horizontal="center"/>
      <protection locked="0"/>
    </xf>
    <xf numFmtId="3" fontId="6" fillId="11" borderId="18" xfId="0" applyNumberFormat="1" applyFont="1" applyFill="1" applyBorder="1" applyAlignment="1" applyProtection="1">
      <alignment horizontal="center"/>
      <protection locked="0"/>
    </xf>
    <xf numFmtId="3" fontId="5" fillId="10" borderId="1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3" fontId="15" fillId="0" borderId="1" xfId="0" applyNumberFormat="1" applyFont="1" applyBorder="1" applyAlignment="1" applyProtection="1">
      <alignment horizontal="right"/>
      <protection locked="0"/>
    </xf>
    <xf numFmtId="3" fontId="15" fillId="4" borderId="1" xfId="0" applyNumberFormat="1" applyFont="1" applyFill="1" applyBorder="1" applyAlignment="1" applyProtection="1">
      <alignment horizontal="right"/>
      <protection locked="0"/>
    </xf>
    <xf numFmtId="3" fontId="15" fillId="6" borderId="1" xfId="0" applyNumberFormat="1" applyFont="1" applyFill="1" applyBorder="1" applyAlignment="1" applyProtection="1">
      <alignment vertical="center" wrapText="1"/>
      <protection locked="0"/>
    </xf>
    <xf numFmtId="3" fontId="15" fillId="5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right" vertical="center" wrapText="1"/>
      <protection locked="0"/>
    </xf>
    <xf numFmtId="3" fontId="15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Protection="1">
      <protection locked="0"/>
    </xf>
    <xf numFmtId="3" fontId="15" fillId="6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9" fontId="15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3" fontId="2" fillId="0" borderId="0" xfId="2" applyFont="1" applyFill="1" applyAlignment="1">
      <alignment horizontal="center"/>
    </xf>
    <xf numFmtId="43" fontId="2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4" fillId="0" borderId="15" xfId="2" applyFont="1" applyBorder="1" applyAlignment="1">
      <alignment horizontal="center"/>
    </xf>
    <xf numFmtId="43" fontId="6" fillId="0" borderId="12" xfId="2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5" fillId="4" borderId="18" xfId="2" applyFont="1" applyFill="1" applyBorder="1" applyAlignment="1">
      <alignment horizontal="center"/>
    </xf>
    <xf numFmtId="43" fontId="5" fillId="6" borderId="18" xfId="2" applyFont="1" applyFill="1" applyBorder="1" applyAlignment="1">
      <alignment horizontal="center"/>
    </xf>
    <xf numFmtId="43" fontId="5" fillId="0" borderId="18" xfId="2" applyFont="1" applyBorder="1" applyAlignment="1">
      <alignment horizontal="center"/>
    </xf>
    <xf numFmtId="43" fontId="6" fillId="7" borderId="10" xfId="2" applyFont="1" applyFill="1" applyBorder="1" applyAlignment="1">
      <alignment horizontal="center"/>
    </xf>
    <xf numFmtId="43" fontId="6" fillId="0" borderId="10" xfId="2" applyFont="1" applyBorder="1" applyAlignment="1">
      <alignment horizontal="center"/>
    </xf>
    <xf numFmtId="43" fontId="5" fillId="11" borderId="18" xfId="2" applyFont="1" applyFill="1" applyBorder="1" applyAlignment="1">
      <alignment horizontal="center"/>
    </xf>
    <xf numFmtId="0" fontId="6" fillId="6" borderId="0" xfId="0" applyFont="1" applyFill="1"/>
    <xf numFmtId="43" fontId="6" fillId="10" borderId="10" xfId="2" applyFont="1" applyFill="1" applyBorder="1" applyAlignment="1">
      <alignment horizontal="center"/>
    </xf>
    <xf numFmtId="43" fontId="6" fillId="6" borderId="10" xfId="2" applyFont="1" applyFill="1" applyBorder="1" applyAlignment="1">
      <alignment horizontal="center"/>
    </xf>
    <xf numFmtId="2" fontId="6" fillId="9" borderId="10" xfId="2" applyNumberFormat="1" applyFont="1" applyFill="1" applyBorder="1" applyAlignment="1">
      <alignment horizontal="center"/>
    </xf>
    <xf numFmtId="43" fontId="6" fillId="9" borderId="10" xfId="2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43" fontId="6" fillId="6" borderId="0" xfId="2" applyFont="1" applyFill="1" applyBorder="1" applyAlignment="1">
      <alignment horizontal="center"/>
    </xf>
    <xf numFmtId="0" fontId="17" fillId="5" borderId="4" xfId="0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23" xfId="0" applyFont="1" applyBorder="1"/>
    <xf numFmtId="49" fontId="6" fillId="0" borderId="13" xfId="0" applyNumberFormat="1" applyFont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5" fillId="4" borderId="18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6" fillId="7" borderId="10" xfId="0" applyNumberFormat="1" applyFont="1" applyFill="1" applyBorder="1" applyAlignment="1">
      <alignment horizontal="center"/>
    </xf>
    <xf numFmtId="0" fontId="6" fillId="6" borderId="16" xfId="0" quotePrefix="1" applyFont="1" applyFill="1" applyBorder="1"/>
    <xf numFmtId="0" fontId="6" fillId="6" borderId="18" xfId="0" applyFont="1" applyFill="1" applyBorder="1" applyAlignment="1">
      <alignment horizontal="center"/>
    </xf>
    <xf numFmtId="2" fontId="6" fillId="6" borderId="18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 applyProtection="1">
      <alignment horizontal="center"/>
      <protection locked="0"/>
    </xf>
    <xf numFmtId="3" fontId="6" fillId="0" borderId="10" xfId="0" applyNumberFormat="1" applyFont="1" applyBorder="1" applyAlignment="1">
      <alignment horizontal="center"/>
    </xf>
    <xf numFmtId="3" fontId="5" fillId="11" borderId="18" xfId="0" applyNumberFormat="1" applyFont="1" applyFill="1" applyBorder="1" applyAlignment="1">
      <alignment horizontal="center"/>
    </xf>
    <xf numFmtId="3" fontId="6" fillId="10" borderId="10" xfId="0" applyNumberFormat="1" applyFont="1" applyFill="1" applyBorder="1" applyAlignment="1">
      <alignment horizontal="center"/>
    </xf>
    <xf numFmtId="166" fontId="6" fillId="10" borderId="10" xfId="2" applyNumberFormat="1" applyFont="1" applyFill="1" applyBorder="1" applyAlignment="1">
      <alignment horizontal="center"/>
    </xf>
    <xf numFmtId="166" fontId="6" fillId="6" borderId="10" xfId="2" applyNumberFormat="1" applyFont="1" applyFill="1" applyBorder="1" applyAlignment="1">
      <alignment horizontal="center"/>
    </xf>
    <xf numFmtId="166" fontId="6" fillId="9" borderId="10" xfId="2" applyNumberFormat="1" applyFont="1" applyFill="1" applyBorder="1" applyAlignment="1">
      <alignment horizontal="center"/>
    </xf>
    <xf numFmtId="0" fontId="6" fillId="6" borderId="14" xfId="0" applyFont="1" applyFill="1" applyBorder="1"/>
    <xf numFmtId="1" fontId="6" fillId="6" borderId="0" xfId="2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right"/>
    </xf>
    <xf numFmtId="43" fontId="6" fillId="0" borderId="10" xfId="2" applyFont="1" applyFill="1" applyBorder="1" applyAlignment="1">
      <alignment horizontal="center"/>
    </xf>
    <xf numFmtId="0" fontId="20" fillId="2" borderId="26" xfId="0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1" fillId="0" borderId="0" xfId="0" applyFont="1"/>
    <xf numFmtId="49" fontId="2" fillId="0" borderId="2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22" fillId="4" borderId="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left"/>
    </xf>
    <xf numFmtId="0" fontId="22" fillId="6" borderId="3" xfId="0" applyFont="1" applyFill="1" applyBorder="1"/>
    <xf numFmtId="0" fontId="2" fillId="0" borderId="3" xfId="0" applyFont="1" applyBorder="1"/>
    <xf numFmtId="0" fontId="2" fillId="10" borderId="2" xfId="0" applyFont="1" applyFill="1" applyBorder="1" applyAlignment="1">
      <alignment horizontal="left"/>
    </xf>
    <xf numFmtId="0" fontId="23" fillId="10" borderId="3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3" fontId="2" fillId="10" borderId="1" xfId="0" applyNumberFormat="1" applyFont="1" applyFill="1" applyBorder="1" applyAlignment="1" applyProtection="1">
      <alignment horizontal="center"/>
      <protection locked="0"/>
    </xf>
    <xf numFmtId="3" fontId="24" fillId="10" borderId="1" xfId="0" applyNumberFormat="1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right" vertical="top"/>
    </xf>
    <xf numFmtId="3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3" fontId="24" fillId="5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3" xfId="0" applyFont="1" applyBorder="1"/>
    <xf numFmtId="49" fontId="2" fillId="0" borderId="3" xfId="0" applyNumberFormat="1" applyFont="1" applyBorder="1"/>
    <xf numFmtId="0" fontId="22" fillId="0" borderId="1" xfId="0" applyFont="1" applyBorder="1" applyAlignment="1">
      <alignment horizontal="center"/>
    </xf>
    <xf numFmtId="0" fontId="23" fillId="0" borderId="3" xfId="0" applyFont="1" applyBorder="1"/>
    <xf numFmtId="0" fontId="23" fillId="10" borderId="3" xfId="0" applyFont="1" applyFill="1" applyBorder="1" applyAlignment="1">
      <alignment horizontal="center" vertical="top" wrapText="1"/>
    </xf>
    <xf numFmtId="3" fontId="2" fillId="10" borderId="1" xfId="0" applyNumberFormat="1" applyFont="1" applyFill="1" applyBorder="1" applyAlignment="1">
      <alignment horizontal="right"/>
    </xf>
    <xf numFmtId="3" fontId="2" fillId="10" borderId="1" xfId="0" applyNumberFormat="1" applyFont="1" applyFill="1" applyBorder="1" applyAlignment="1">
      <alignment horizontal="center" vertical="center"/>
    </xf>
    <xf numFmtId="3" fontId="2" fillId="10" borderId="1" xfId="0" applyNumberFormat="1" applyFont="1" applyFill="1" applyBorder="1" applyAlignment="1" applyProtection="1">
      <alignment horizontal="center" vertical="center"/>
      <protection locked="0"/>
    </xf>
    <xf numFmtId="16" fontId="22" fillId="0" borderId="3" xfId="0" applyNumberFormat="1" applyFont="1" applyBorder="1" applyAlignment="1">
      <alignment horizontal="center" vertical="center"/>
    </xf>
    <xf numFmtId="0" fontId="22" fillId="5" borderId="3" xfId="0" applyFont="1" applyFill="1" applyBorder="1" applyAlignment="1">
      <alignment horizontal="right" vertical="top" wrapText="1"/>
    </xf>
    <xf numFmtId="0" fontId="2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22" fillId="0" borderId="3" xfId="0" applyFont="1" applyBorder="1"/>
    <xf numFmtId="0" fontId="2" fillId="13" borderId="0" xfId="0" applyFont="1" applyFill="1"/>
    <xf numFmtId="0" fontId="2" fillId="0" borderId="2" xfId="0" applyFont="1" applyBorder="1"/>
    <xf numFmtId="0" fontId="22" fillId="0" borderId="3" xfId="0" applyFont="1" applyBorder="1" applyAlignment="1">
      <alignment horizontal="left"/>
    </xf>
    <xf numFmtId="49" fontId="22" fillId="0" borderId="3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49" fontId="2" fillId="6" borderId="2" xfId="0" applyNumberFormat="1" applyFont="1" applyFill="1" applyBorder="1" applyAlignment="1">
      <alignment horizontal="center" vertical="top"/>
    </xf>
    <xf numFmtId="0" fontId="22" fillId="6" borderId="1" xfId="0" applyFont="1" applyFill="1" applyBorder="1" applyAlignment="1">
      <alignment horizontal="right" vertical="top" wrapText="1"/>
    </xf>
    <xf numFmtId="0" fontId="22" fillId="6" borderId="1" xfId="0" applyFont="1" applyFill="1" applyBorder="1" applyAlignment="1">
      <alignment vertical="top" wrapText="1"/>
    </xf>
    <xf numFmtId="3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 applyProtection="1">
      <alignment horizontal="center" vertical="center"/>
      <protection locked="0"/>
    </xf>
    <xf numFmtId="3" fontId="24" fillId="6" borderId="1" xfId="0" applyNumberFormat="1" applyFont="1" applyFill="1" applyBorder="1" applyAlignment="1">
      <alignment horizontal="center" vertical="center"/>
    </xf>
    <xf numFmtId="0" fontId="2" fillId="6" borderId="0" xfId="0" applyFont="1" applyFill="1"/>
    <xf numFmtId="49" fontId="2" fillId="0" borderId="2" xfId="0" applyNumberFormat="1" applyFont="1" applyBorder="1" applyAlignment="1">
      <alignment horizontal="center" vertical="center"/>
    </xf>
    <xf numFmtId="0" fontId="22" fillId="5" borderId="3" xfId="0" applyFont="1" applyFill="1" applyBorder="1" applyAlignment="1">
      <alignment horizontal="right" vertical="center" wrapText="1"/>
    </xf>
    <xf numFmtId="0" fontId="22" fillId="5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0" fontId="23" fillId="9" borderId="1" xfId="0" applyFont="1" applyFill="1" applyBorder="1" applyAlignment="1">
      <alignment vertical="center" wrapText="1"/>
    </xf>
    <xf numFmtId="3" fontId="24" fillId="9" borderId="1" xfId="0" applyNumberFormat="1" applyFont="1" applyFill="1" applyBorder="1" applyAlignment="1">
      <alignment horizontal="center"/>
    </xf>
    <xf numFmtId="0" fontId="20" fillId="2" borderId="27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vertical="top"/>
      <protection locked="0"/>
    </xf>
    <xf numFmtId="0" fontId="23" fillId="9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9" fontId="34" fillId="9" borderId="1" xfId="3" applyFont="1" applyFill="1" applyBorder="1" applyAlignment="1">
      <alignment vertical="center" wrapText="1"/>
    </xf>
    <xf numFmtId="0" fontId="5" fillId="14" borderId="0" xfId="0" applyFont="1" applyFill="1"/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6" xfId="0" applyFont="1" applyBorder="1" applyAlignment="1">
      <alignment vertical="top"/>
    </xf>
    <xf numFmtId="0" fontId="32" fillId="0" borderId="16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9" fillId="0" borderId="16" xfId="0" applyFont="1" applyBorder="1" applyAlignment="1">
      <alignment horizontal="left"/>
    </xf>
    <xf numFmtId="0" fontId="40" fillId="0" borderId="16" xfId="0" applyFont="1" applyBorder="1" applyAlignment="1">
      <alignment wrapText="1"/>
    </xf>
    <xf numFmtId="0" fontId="39" fillId="0" borderId="18" xfId="0" applyFont="1" applyBorder="1" applyAlignment="1">
      <alignment horizontal="center"/>
    </xf>
    <xf numFmtId="2" fontId="39" fillId="0" borderId="18" xfId="0" applyNumberFormat="1" applyFont="1" applyBorder="1" applyAlignment="1">
      <alignment horizontal="center"/>
    </xf>
    <xf numFmtId="3" fontId="39" fillId="0" borderId="18" xfId="0" applyNumberFormat="1" applyFont="1" applyBorder="1" applyAlignment="1" applyProtection="1">
      <alignment horizontal="center"/>
      <protection locked="0"/>
    </xf>
    <xf numFmtId="43" fontId="39" fillId="0" borderId="16" xfId="2" applyFont="1" applyBorder="1" applyAlignment="1" applyProtection="1">
      <alignment horizontal="center"/>
    </xf>
    <xf numFmtId="0" fontId="41" fillId="0" borderId="0" xfId="0" applyFont="1"/>
    <xf numFmtId="0" fontId="39" fillId="0" borderId="16" xfId="0" applyFont="1" applyBorder="1"/>
    <xf numFmtId="0" fontId="42" fillId="9" borderId="14" xfId="0" applyFont="1" applyFill="1" applyBorder="1"/>
    <xf numFmtId="49" fontId="2" fillId="0" borderId="0" xfId="0" applyNumberFormat="1" applyFont="1" applyAlignment="1">
      <alignment horizontal="center" vertical="center"/>
    </xf>
    <xf numFmtId="0" fontId="22" fillId="5" borderId="3" xfId="0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right"/>
    </xf>
    <xf numFmtId="0" fontId="22" fillId="6" borderId="1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/>
    <xf numFmtId="0" fontId="6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center"/>
    </xf>
    <xf numFmtId="0" fontId="7" fillId="0" borderId="15" xfId="1" applyFont="1" applyBorder="1" applyAlignment="1">
      <alignment horizontal="center" vertical="center"/>
    </xf>
    <xf numFmtId="2" fontId="7" fillId="0" borderId="15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6" fillId="0" borderId="10" xfId="1" applyFont="1" applyBorder="1" applyAlignment="1">
      <alignment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6" fillId="0" borderId="17" xfId="1" applyFont="1" applyBorder="1" applyAlignment="1">
      <alignment horizontal="left"/>
    </xf>
    <xf numFmtId="0" fontId="6" fillId="0" borderId="16" xfId="1" applyFont="1" applyBorder="1"/>
    <xf numFmtId="0" fontId="5" fillId="0" borderId="18" xfId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3" fontId="5" fillId="0" borderId="18" xfId="1" applyNumberFormat="1" applyFont="1" applyBorder="1" applyAlignment="1">
      <alignment horizontal="center" vertical="center"/>
    </xf>
    <xf numFmtId="3" fontId="5" fillId="0" borderId="12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left"/>
    </xf>
    <xf numFmtId="0" fontId="5" fillId="0" borderId="16" xfId="1" applyFont="1" applyBorder="1"/>
    <xf numFmtId="2" fontId="5" fillId="0" borderId="18" xfId="1" applyNumberFormat="1" applyFont="1" applyBorder="1" applyAlignment="1">
      <alignment horizontal="center" vertical="center"/>
    </xf>
    <xf numFmtId="3" fontId="5" fillId="6" borderId="18" xfId="1" applyNumberFormat="1" applyFont="1" applyFill="1" applyBorder="1" applyAlignment="1">
      <alignment horizontal="center" vertical="center"/>
    </xf>
    <xf numFmtId="0" fontId="5" fillId="0" borderId="10" xfId="1" applyFont="1" applyBorder="1"/>
    <xf numFmtId="0" fontId="6" fillId="0" borderId="13" xfId="1" applyFont="1" applyBorder="1" applyAlignment="1">
      <alignment horizontal="right"/>
    </xf>
    <xf numFmtId="0" fontId="6" fillId="0" borderId="11" xfId="1" applyFont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left"/>
    </xf>
    <xf numFmtId="0" fontId="6" fillId="0" borderId="16" xfId="1" quotePrefix="1" applyFont="1" applyBorder="1"/>
    <xf numFmtId="0" fontId="6" fillId="0" borderId="18" xfId="1" applyFont="1" applyBorder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0" fontId="4" fillId="0" borderId="13" xfId="1" applyFont="1" applyBorder="1"/>
    <xf numFmtId="0" fontId="5" fillId="0" borderId="12" xfId="1" applyFont="1" applyBorder="1" applyAlignment="1">
      <alignment horizontal="left"/>
    </xf>
    <xf numFmtId="0" fontId="5" fillId="0" borderId="19" xfId="1" applyFont="1" applyBorder="1"/>
    <xf numFmtId="0" fontId="5" fillId="0" borderId="12" xfId="1" applyFont="1" applyBorder="1" applyAlignment="1">
      <alignment horizontal="center" vertical="center"/>
    </xf>
    <xf numFmtId="0" fontId="6" fillId="0" borderId="18" xfId="1" applyFont="1" applyBorder="1" applyAlignment="1">
      <alignment horizontal="left"/>
    </xf>
    <xf numFmtId="0" fontId="9" fillId="0" borderId="0" xfId="1" applyFont="1"/>
    <xf numFmtId="0" fontId="5" fillId="0" borderId="18" xfId="1" applyFont="1" applyBorder="1" applyAlignment="1">
      <alignment horizontal="left"/>
    </xf>
    <xf numFmtId="0" fontId="5" fillId="0" borderId="0" xfId="1" applyFont="1"/>
    <xf numFmtId="0" fontId="5" fillId="0" borderId="0" xfId="1" applyFont="1" applyAlignment="1">
      <alignment wrapText="1"/>
    </xf>
    <xf numFmtId="0" fontId="5" fillId="6" borderId="0" xfId="1" applyFont="1" applyFill="1"/>
    <xf numFmtId="0" fontId="5" fillId="6" borderId="18" xfId="1" applyFont="1" applyFill="1" applyBorder="1" applyAlignment="1">
      <alignment horizontal="center" vertical="center"/>
    </xf>
    <xf numFmtId="2" fontId="5" fillId="6" borderId="18" xfId="1" applyNumberFormat="1" applyFont="1" applyFill="1" applyBorder="1" applyAlignment="1">
      <alignment horizontal="center" vertical="center"/>
    </xf>
    <xf numFmtId="0" fontId="6" fillId="0" borderId="0" xfId="1" applyFont="1"/>
    <xf numFmtId="0" fontId="5" fillId="6" borderId="0" xfId="1" applyFont="1" applyFill="1" applyAlignment="1">
      <alignment wrapText="1"/>
    </xf>
    <xf numFmtId="3" fontId="6" fillId="0" borderId="18" xfId="1" applyNumberFormat="1" applyFont="1" applyBorder="1" applyAlignment="1">
      <alignment horizontal="center" vertical="center"/>
    </xf>
    <xf numFmtId="0" fontId="5" fillId="6" borderId="18" xfId="1" applyFont="1" applyFill="1" applyBorder="1" applyAlignment="1">
      <alignment horizontal="left"/>
    </xf>
    <xf numFmtId="0" fontId="1" fillId="6" borderId="0" xfId="1" applyFill="1"/>
    <xf numFmtId="0" fontId="5" fillId="0" borderId="20" xfId="1" applyFont="1" applyBorder="1" applyAlignment="1">
      <alignment horizontal="left"/>
    </xf>
    <xf numFmtId="0" fontId="5" fillId="0" borderId="15" xfId="1" applyFont="1" applyBorder="1"/>
    <xf numFmtId="0" fontId="5" fillId="0" borderId="20" xfId="1" applyFont="1" applyBorder="1" applyAlignment="1">
      <alignment horizontal="center" vertical="center"/>
    </xf>
    <xf numFmtId="2" fontId="44" fillId="6" borderId="18" xfId="1" applyNumberFormat="1" applyFont="1" applyFill="1" applyBorder="1" applyAlignment="1">
      <alignment horizontal="center" vertical="center"/>
    </xf>
    <xf numFmtId="2" fontId="44" fillId="0" borderId="18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6" borderId="12" xfId="1" applyFont="1" applyFill="1" applyBorder="1" applyAlignment="1">
      <alignment horizontal="left"/>
    </xf>
    <xf numFmtId="0" fontId="6" fillId="6" borderId="19" xfId="1" applyFont="1" applyFill="1" applyBorder="1"/>
    <xf numFmtId="0" fontId="5" fillId="6" borderId="12" xfId="1" applyFont="1" applyFill="1" applyBorder="1" applyAlignment="1">
      <alignment horizontal="center" vertical="center"/>
    </xf>
    <xf numFmtId="164" fontId="5" fillId="6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5" fillId="0" borderId="10" xfId="1" applyFont="1" applyBorder="1" applyAlignment="1">
      <alignment horizontal="center" vertical="center"/>
    </xf>
    <xf numFmtId="2" fontId="5" fillId="0" borderId="10" xfId="1" applyNumberFormat="1" applyFont="1" applyBorder="1" applyAlignment="1">
      <alignment horizontal="center" vertical="center"/>
    </xf>
    <xf numFmtId="3" fontId="5" fillId="0" borderId="10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left"/>
    </xf>
    <xf numFmtId="0" fontId="5" fillId="0" borderId="18" xfId="1" applyFont="1" applyBorder="1"/>
    <xf numFmtId="3" fontId="5" fillId="0" borderId="20" xfId="1" applyNumberFormat="1" applyFont="1" applyBorder="1" applyAlignment="1">
      <alignment horizontal="center" vertical="center"/>
    </xf>
    <xf numFmtId="0" fontId="6" fillId="0" borderId="13" xfId="1" applyFont="1" applyBorder="1"/>
    <xf numFmtId="0" fontId="6" fillId="0" borderId="18" xfId="1" applyFont="1" applyBorder="1"/>
    <xf numFmtId="0" fontId="5" fillId="0" borderId="20" xfId="1" applyFont="1" applyBorder="1"/>
    <xf numFmtId="0" fontId="6" fillId="0" borderId="12" xfId="1" applyFont="1" applyBorder="1"/>
    <xf numFmtId="0" fontId="6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6" fillId="0" borderId="13" xfId="1" applyFont="1" applyBorder="1" applyAlignment="1">
      <alignment horizontal="left"/>
    </xf>
    <xf numFmtId="0" fontId="1" fillId="0" borderId="12" xfId="1" applyBorder="1" applyAlignment="1">
      <alignment horizontal="center" vertical="center"/>
    </xf>
    <xf numFmtId="2" fontId="1" fillId="0" borderId="18" xfId="1" applyNumberFormat="1" applyBorder="1" applyAlignment="1">
      <alignment horizontal="center" vertical="center"/>
    </xf>
    <xf numFmtId="0" fontId="6" fillId="0" borderId="16" xfId="1" applyFont="1" applyBorder="1" applyAlignment="1">
      <alignment wrapText="1"/>
    </xf>
    <xf numFmtId="0" fontId="5" fillId="0" borderId="16" xfId="1" applyFont="1" applyBorder="1" applyAlignment="1">
      <alignment wrapText="1"/>
    </xf>
    <xf numFmtId="0" fontId="1" fillId="0" borderId="18" xfId="1" applyBorder="1" applyAlignment="1">
      <alignment horizontal="center" vertical="center"/>
    </xf>
    <xf numFmtId="168" fontId="6" fillId="0" borderId="10" xfId="5" applyNumberFormat="1" applyFont="1" applyFill="1" applyBorder="1" applyAlignment="1">
      <alignment horizontal="center" vertical="center"/>
    </xf>
    <xf numFmtId="2" fontId="5" fillId="0" borderId="3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168" fontId="6" fillId="0" borderId="0" xfId="5" applyNumberFormat="1" applyFont="1" applyFill="1" applyBorder="1" applyAlignment="1">
      <alignment horizontal="center" vertical="center"/>
    </xf>
    <xf numFmtId="0" fontId="6" fillId="16" borderId="10" xfId="1" applyFont="1" applyFill="1" applyBorder="1" applyAlignment="1">
      <alignment vertical="center"/>
    </xf>
    <xf numFmtId="0" fontId="6" fillId="16" borderId="13" xfId="1" applyFont="1" applyFill="1" applyBorder="1" applyAlignment="1">
      <alignment horizontal="center" vertical="center"/>
    </xf>
    <xf numFmtId="0" fontId="6" fillId="16" borderId="10" xfId="1" applyFont="1" applyFill="1" applyBorder="1" applyAlignment="1">
      <alignment horizontal="center" vertical="center"/>
    </xf>
    <xf numFmtId="2" fontId="6" fillId="16" borderId="10" xfId="1" applyNumberFormat="1" applyFont="1" applyFill="1" applyBorder="1" applyAlignment="1">
      <alignment horizontal="center" vertical="center"/>
    </xf>
    <xf numFmtId="0" fontId="6" fillId="16" borderId="10" xfId="1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vertical="center"/>
    </xf>
    <xf numFmtId="0" fontId="4" fillId="16" borderId="13" xfId="0" applyFont="1" applyFill="1" applyBorder="1" applyAlignment="1">
      <alignment horizontal="center" vertical="center"/>
    </xf>
    <xf numFmtId="0" fontId="4" fillId="16" borderId="10" xfId="0" applyFont="1" applyFill="1" applyBorder="1" applyAlignment="1">
      <alignment horizontal="center" vertical="center"/>
    </xf>
    <xf numFmtId="2" fontId="4" fillId="16" borderId="10" xfId="0" applyNumberFormat="1" applyFont="1" applyFill="1" applyBorder="1" applyAlignment="1">
      <alignment horizontal="center" vertical="center"/>
    </xf>
    <xf numFmtId="0" fontId="4" fillId="16" borderId="10" xfId="0" applyFont="1" applyFill="1" applyBorder="1" applyAlignment="1">
      <alignment horizontal="center" vertical="center" wrapText="1"/>
    </xf>
    <xf numFmtId="43" fontId="4" fillId="16" borderId="10" xfId="2" applyFont="1" applyFill="1" applyBorder="1" applyAlignment="1">
      <alignment horizontal="center" vertical="center"/>
    </xf>
    <xf numFmtId="0" fontId="32" fillId="16" borderId="10" xfId="0" applyFont="1" applyFill="1" applyBorder="1" applyAlignment="1">
      <alignment vertical="center"/>
    </xf>
    <xf numFmtId="0" fontId="32" fillId="16" borderId="13" xfId="0" applyFont="1" applyFill="1" applyBorder="1" applyAlignment="1">
      <alignment horizontal="center" vertical="center"/>
    </xf>
    <xf numFmtId="0" fontId="32" fillId="16" borderId="10" xfId="0" applyFont="1" applyFill="1" applyBorder="1" applyAlignment="1">
      <alignment horizontal="center" vertical="center"/>
    </xf>
    <xf numFmtId="2" fontId="32" fillId="16" borderId="10" xfId="0" applyNumberFormat="1" applyFont="1" applyFill="1" applyBorder="1" applyAlignment="1">
      <alignment horizontal="center" vertical="center"/>
    </xf>
    <xf numFmtId="0" fontId="32" fillId="16" borderId="10" xfId="0" applyFont="1" applyFill="1" applyBorder="1" applyAlignment="1">
      <alignment horizontal="center" vertical="center" wrapText="1"/>
    </xf>
    <xf numFmtId="0" fontId="20" fillId="16" borderId="5" xfId="0" applyFont="1" applyFill="1" applyBorder="1" applyAlignment="1">
      <alignment horizontal="center" vertical="center" wrapText="1"/>
    </xf>
    <xf numFmtId="49" fontId="20" fillId="16" borderId="9" xfId="0" applyNumberFormat="1" applyFont="1" applyFill="1" applyBorder="1" applyAlignment="1">
      <alignment horizontal="center" vertical="center" wrapText="1"/>
    </xf>
    <xf numFmtId="0" fontId="20" fillId="16" borderId="6" xfId="0" applyFont="1" applyFill="1" applyBorder="1" applyAlignment="1">
      <alignment horizontal="center" vertical="center" wrapText="1"/>
    </xf>
    <xf numFmtId="49" fontId="43" fillId="6" borderId="32" xfId="0" applyNumberFormat="1" applyFont="1" applyFill="1" applyBorder="1" applyAlignment="1">
      <alignment horizontal="center" vertical="center"/>
    </xf>
    <xf numFmtId="49" fontId="24" fillId="6" borderId="32" xfId="0" applyNumberFormat="1" applyFont="1" applyFill="1" applyBorder="1" applyAlignment="1">
      <alignment horizontal="center" vertical="center"/>
    </xf>
    <xf numFmtId="49" fontId="24" fillId="6" borderId="33" xfId="0" applyNumberFormat="1" applyFont="1" applyFill="1" applyBorder="1" applyAlignment="1">
      <alignment horizontal="center" vertical="center"/>
    </xf>
    <xf numFmtId="49" fontId="20" fillId="6" borderId="32" xfId="0" applyNumberFormat="1" applyFont="1" applyFill="1" applyBorder="1" applyAlignment="1">
      <alignment horizontal="center" vertical="center" wrapText="1"/>
    </xf>
    <xf numFmtId="49" fontId="20" fillId="6" borderId="4" xfId="0" applyNumberFormat="1" applyFont="1" applyFill="1" applyBorder="1" applyAlignment="1">
      <alignment horizontal="center" vertical="center" wrapText="1"/>
    </xf>
    <xf numFmtId="49" fontId="20" fillId="6" borderId="33" xfId="0" applyNumberFormat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5" fillId="9" borderId="13" xfId="0" applyFont="1" applyFill="1" applyBorder="1" applyAlignment="1">
      <alignment vertical="center"/>
    </xf>
    <xf numFmtId="0" fontId="6" fillId="9" borderId="14" xfId="0" applyFont="1" applyFill="1" applyBorder="1" applyAlignment="1">
      <alignment vertical="center"/>
    </xf>
    <xf numFmtId="0" fontId="5" fillId="9" borderId="14" xfId="0" applyFont="1" applyFill="1" applyBorder="1" applyAlignment="1">
      <alignment horizontal="center" vertical="center"/>
    </xf>
    <xf numFmtId="2" fontId="6" fillId="9" borderId="14" xfId="0" applyNumberFormat="1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2" fontId="6" fillId="9" borderId="10" xfId="2" applyNumberFormat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right"/>
    </xf>
    <xf numFmtId="9" fontId="28" fillId="9" borderId="14" xfId="3" applyFont="1" applyFill="1" applyBorder="1" applyAlignment="1">
      <alignment vertical="center"/>
    </xf>
    <xf numFmtId="0" fontId="38" fillId="0" borderId="0" xfId="12" applyAlignment="1">
      <alignment horizontal="left" vertical="top"/>
    </xf>
    <xf numFmtId="0" fontId="46" fillId="0" borderId="0" xfId="12" applyFont="1" applyAlignment="1">
      <alignment horizontal="left" vertical="top"/>
    </xf>
    <xf numFmtId="0" fontId="38" fillId="0" borderId="0" xfId="12"/>
    <xf numFmtId="167" fontId="47" fillId="5" borderId="11" xfId="12" applyNumberFormat="1" applyFont="1" applyFill="1" applyBorder="1"/>
    <xf numFmtId="0" fontId="38" fillId="5" borderId="14" xfId="12" applyFill="1" applyBorder="1"/>
    <xf numFmtId="0" fontId="48" fillId="5" borderId="14" xfId="12" applyFont="1" applyFill="1" applyBorder="1" applyAlignment="1">
      <alignment horizontal="center" vertical="center" wrapText="1"/>
    </xf>
    <xf numFmtId="0" fontId="49" fillId="5" borderId="14" xfId="12" applyFont="1" applyFill="1" applyBorder="1" applyAlignment="1">
      <alignment horizontal="center" vertical="center" wrapText="1"/>
    </xf>
    <xf numFmtId="0" fontId="49" fillId="5" borderId="13" xfId="12" applyFont="1" applyFill="1" applyBorder="1" applyAlignment="1">
      <alignment horizontal="center" vertical="center" wrapText="1"/>
    </xf>
    <xf numFmtId="0" fontId="49" fillId="6" borderId="0" xfId="12" applyFont="1" applyFill="1" applyAlignment="1">
      <alignment vertical="center" wrapText="1"/>
    </xf>
    <xf numFmtId="0" fontId="50" fillId="0" borderId="0" xfId="12" applyFont="1" applyAlignment="1">
      <alignment horizontal="center"/>
    </xf>
    <xf numFmtId="0" fontId="38" fillId="0" borderId="0" xfId="12" applyAlignment="1">
      <alignment horizontal="center"/>
    </xf>
    <xf numFmtId="0" fontId="38" fillId="6" borderId="0" xfId="12" applyFill="1"/>
    <xf numFmtId="10" fontId="51" fillId="5" borderId="14" xfId="12" applyNumberFormat="1" applyFont="1" applyFill="1" applyBorder="1" applyAlignment="1">
      <alignment horizontal="center" vertical="center" wrapText="1"/>
    </xf>
    <xf numFmtId="0" fontId="46" fillId="0" borderId="0" xfId="12" applyFont="1" applyAlignment="1">
      <alignment horizontal="left" wrapText="1"/>
    </xf>
    <xf numFmtId="43" fontId="46" fillId="5" borderId="34" xfId="12" applyNumberFormat="1" applyFont="1" applyFill="1" applyBorder="1" applyAlignment="1">
      <alignment horizontal="center" vertical="top" wrapText="1"/>
    </xf>
    <xf numFmtId="1" fontId="49" fillId="0" borderId="34" xfId="12" applyNumberFormat="1" applyFont="1" applyBorder="1" applyAlignment="1">
      <alignment horizontal="center" vertical="top" shrinkToFit="1"/>
    </xf>
    <xf numFmtId="43" fontId="52" fillId="0" borderId="34" xfId="13" applyFont="1" applyFill="1" applyBorder="1" applyAlignment="1">
      <alignment horizontal="center" vertical="top" wrapText="1"/>
    </xf>
    <xf numFmtId="0" fontId="46" fillId="0" borderId="34" xfId="12" applyFont="1" applyBorder="1" applyAlignment="1">
      <alignment horizontal="center" vertical="top" wrapText="1"/>
    </xf>
    <xf numFmtId="1" fontId="53" fillId="6" borderId="34" xfId="12" applyNumberFormat="1" applyFont="1" applyFill="1" applyBorder="1" applyAlignment="1">
      <alignment horizontal="center" vertical="top" shrinkToFit="1"/>
    </xf>
    <xf numFmtId="0" fontId="54" fillId="6" borderId="37" xfId="12" applyFont="1" applyFill="1" applyBorder="1" applyAlignment="1">
      <alignment horizontal="center" vertical="top" wrapText="1"/>
    </xf>
    <xf numFmtId="0" fontId="46" fillId="6" borderId="34" xfId="12" applyFont="1" applyFill="1" applyBorder="1" applyAlignment="1">
      <alignment horizontal="left" vertical="top" wrapText="1"/>
    </xf>
    <xf numFmtId="0" fontId="46" fillId="0" borderId="34" xfId="12" applyFont="1" applyBorder="1" applyAlignment="1">
      <alignment horizontal="left" wrapText="1"/>
    </xf>
    <xf numFmtId="2" fontId="53" fillId="6" borderId="34" xfId="12" applyNumberFormat="1" applyFont="1" applyFill="1" applyBorder="1" applyAlignment="1">
      <alignment horizontal="center" vertical="top" shrinkToFit="1"/>
    </xf>
    <xf numFmtId="1" fontId="53" fillId="0" borderId="34" xfId="12" applyNumberFormat="1" applyFont="1" applyBorder="1" applyAlignment="1">
      <alignment horizontal="center" vertical="top" shrinkToFit="1"/>
    </xf>
    <xf numFmtId="0" fontId="54" fillId="0" borderId="37" xfId="12" applyFont="1" applyBorder="1" applyAlignment="1">
      <alignment horizontal="center" vertical="top" wrapText="1"/>
    </xf>
    <xf numFmtId="0" fontId="55" fillId="6" borderId="34" xfId="12" applyFont="1" applyFill="1" applyBorder="1" applyAlignment="1">
      <alignment horizontal="left" vertical="top" wrapText="1"/>
    </xf>
    <xf numFmtId="0" fontId="54" fillId="0" borderId="37" xfId="12" applyFont="1" applyBorder="1" applyAlignment="1">
      <alignment horizontal="left" vertical="top" wrapText="1"/>
    </xf>
    <xf numFmtId="0" fontId="46" fillId="0" borderId="34" xfId="12" applyFont="1" applyBorder="1" applyAlignment="1">
      <alignment horizontal="left" vertical="top" wrapText="1"/>
    </xf>
    <xf numFmtId="1" fontId="53" fillId="0" borderId="34" xfId="12" applyNumberFormat="1" applyFont="1" applyBorder="1" applyAlignment="1">
      <alignment horizontal="right" vertical="top" indent="1" shrinkToFit="1"/>
    </xf>
    <xf numFmtId="0" fontId="54" fillId="0" borderId="37" xfId="12" applyFont="1" applyBorder="1" applyAlignment="1">
      <alignment horizontal="left" vertical="top" wrapText="1" indent="1"/>
    </xf>
    <xf numFmtId="0" fontId="1" fillId="0" borderId="34" xfId="12" applyFont="1" applyBorder="1" applyAlignment="1">
      <alignment horizontal="left" vertical="top" wrapText="1"/>
    </xf>
    <xf numFmtId="0" fontId="46" fillId="0" borderId="37" xfId="12" applyFont="1" applyBorder="1" applyAlignment="1">
      <alignment horizontal="left" wrapText="1"/>
    </xf>
    <xf numFmtId="1" fontId="58" fillId="0" borderId="34" xfId="12" applyNumberFormat="1" applyFont="1" applyBorder="1" applyAlignment="1">
      <alignment horizontal="center" vertical="top" shrinkToFit="1"/>
    </xf>
    <xf numFmtId="0" fontId="46" fillId="0" borderId="0" xfId="12" applyFont="1" applyAlignment="1">
      <alignment horizontal="left" vertical="center" wrapText="1"/>
    </xf>
    <xf numFmtId="0" fontId="46" fillId="0" borderId="34" xfId="12" applyFont="1" applyBorder="1" applyAlignment="1">
      <alignment horizontal="left" vertical="center" wrapText="1"/>
    </xf>
    <xf numFmtId="0" fontId="57" fillId="0" borderId="34" xfId="12" applyFont="1" applyBorder="1" applyAlignment="1">
      <alignment horizontal="left" vertical="top" wrapText="1"/>
    </xf>
    <xf numFmtId="0" fontId="57" fillId="0" borderId="38" xfId="12" applyFont="1" applyBorder="1" applyAlignment="1">
      <alignment horizontal="center" vertical="top" wrapText="1"/>
    </xf>
    <xf numFmtId="0" fontId="57" fillId="0" borderId="38" xfId="12" applyFont="1" applyBorder="1" applyAlignment="1">
      <alignment horizontal="right" vertical="top" wrapText="1"/>
    </xf>
    <xf numFmtId="0" fontId="57" fillId="0" borderId="39" xfId="12" applyFont="1" applyBorder="1" applyAlignment="1">
      <alignment horizontal="center" vertical="top" wrapText="1"/>
    </xf>
    <xf numFmtId="0" fontId="46" fillId="6" borderId="0" xfId="12" applyFont="1" applyFill="1" applyAlignment="1">
      <alignment horizontal="left" vertical="top"/>
    </xf>
    <xf numFmtId="0" fontId="46" fillId="6" borderId="0" xfId="12" applyFont="1" applyFill="1" applyAlignment="1">
      <alignment horizontal="center" vertical="top" wrapText="1"/>
    </xf>
    <xf numFmtId="0" fontId="32" fillId="6" borderId="33" xfId="12" applyFont="1" applyFill="1" applyBorder="1" applyAlignment="1">
      <alignment horizontal="center" vertical="top" wrapText="1"/>
    </xf>
    <xf numFmtId="0" fontId="32" fillId="6" borderId="32" xfId="12" applyFont="1" applyFill="1" applyBorder="1" applyAlignment="1">
      <alignment horizontal="center" vertical="top" wrapText="1"/>
    </xf>
    <xf numFmtId="0" fontId="32" fillId="6" borderId="40" xfId="12" applyFont="1" applyFill="1" applyBorder="1" applyAlignment="1">
      <alignment horizontal="center" vertical="top" wrapText="1"/>
    </xf>
    <xf numFmtId="0" fontId="32" fillId="6" borderId="41" xfId="12" applyFont="1" applyFill="1" applyBorder="1" applyAlignment="1">
      <alignment horizontal="center" vertical="top" wrapText="1"/>
    </xf>
    <xf numFmtId="0" fontId="46" fillId="0" borderId="0" xfId="12" applyFont="1" applyAlignment="1">
      <alignment horizontal="center" vertical="top" wrapText="1"/>
    </xf>
    <xf numFmtId="0" fontId="6" fillId="9" borderId="14" xfId="0" applyFont="1" applyFill="1" applyBorder="1" applyAlignment="1">
      <alignment horizontal="center" vertical="center"/>
    </xf>
    <xf numFmtId="0" fontId="1" fillId="0" borderId="15" xfId="1" applyBorder="1" applyAlignment="1">
      <alignment horizontal="center"/>
    </xf>
    <xf numFmtId="0" fontId="6" fillId="15" borderId="13" xfId="1" applyFont="1" applyFill="1" applyBorder="1" applyAlignment="1">
      <alignment horizontal="center" vertical="center"/>
    </xf>
    <xf numFmtId="0" fontId="6" fillId="15" borderId="14" xfId="1" applyFont="1" applyFill="1" applyBorder="1" applyAlignment="1">
      <alignment horizontal="center" vertical="center"/>
    </xf>
    <xf numFmtId="0" fontId="6" fillId="15" borderId="11" xfId="1" applyFont="1" applyFill="1" applyBorder="1" applyAlignment="1">
      <alignment horizontal="center" vertical="center"/>
    </xf>
    <xf numFmtId="0" fontId="42" fillId="8" borderId="13" xfId="1" applyFont="1" applyFill="1" applyBorder="1" applyAlignment="1">
      <alignment horizontal="center" vertical="center" wrapText="1"/>
    </xf>
    <xf numFmtId="0" fontId="42" fillId="8" borderId="14" xfId="1" applyFont="1" applyFill="1" applyBorder="1" applyAlignment="1">
      <alignment horizontal="center" vertical="center" wrapText="1"/>
    </xf>
    <xf numFmtId="0" fontId="42" fillId="8" borderId="1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0" fillId="12" borderId="3" xfId="0" applyNumberFormat="1" applyFont="1" applyFill="1" applyBorder="1" applyAlignment="1">
      <alignment horizontal="center" vertical="center"/>
    </xf>
    <xf numFmtId="49" fontId="30" fillId="12" borderId="4" xfId="0" applyNumberFormat="1" applyFont="1" applyFill="1" applyBorder="1" applyAlignment="1">
      <alignment horizontal="center" vertical="center"/>
    </xf>
    <xf numFmtId="49" fontId="30" fillId="12" borderId="7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49" fontId="20" fillId="8" borderId="3" xfId="0" applyNumberFormat="1" applyFont="1" applyFill="1" applyBorder="1" applyAlignment="1">
      <alignment horizontal="center" vertical="center" wrapText="1"/>
    </xf>
    <xf numFmtId="49" fontId="20" fillId="8" borderId="4" xfId="0" applyNumberFormat="1" applyFont="1" applyFill="1" applyBorder="1" applyAlignment="1">
      <alignment horizontal="center" vertical="center" wrapText="1"/>
    </xf>
    <xf numFmtId="49" fontId="20" fillId="8" borderId="7" xfId="0" applyNumberFormat="1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32" fillId="9" borderId="44" xfId="12" applyFont="1" applyFill="1" applyBorder="1" applyAlignment="1">
      <alignment horizontal="center" vertical="top" wrapText="1"/>
    </xf>
    <xf numFmtId="0" fontId="32" fillId="9" borderId="43" xfId="12" applyFont="1" applyFill="1" applyBorder="1" applyAlignment="1">
      <alignment horizontal="center" vertical="top" wrapText="1"/>
    </xf>
    <xf numFmtId="0" fontId="32" fillId="9" borderId="42" xfId="12" applyFont="1" applyFill="1" applyBorder="1" applyAlignment="1">
      <alignment horizontal="center" vertical="top" wrapText="1"/>
    </xf>
    <xf numFmtId="0" fontId="46" fillId="5" borderId="37" xfId="12" applyFont="1" applyFill="1" applyBorder="1" applyAlignment="1">
      <alignment horizontal="center" vertical="top" wrapText="1"/>
    </xf>
    <xf numFmtId="0" fontId="46" fillId="5" borderId="36" xfId="12" applyFont="1" applyFill="1" applyBorder="1" applyAlignment="1">
      <alignment horizontal="center" vertical="top" wrapText="1"/>
    </xf>
    <xf numFmtId="0" fontId="46" fillId="5" borderId="35" xfId="12" applyFont="1" applyFill="1" applyBorder="1" applyAlignment="1">
      <alignment horizontal="center" vertical="top" wrapText="1"/>
    </xf>
    <xf numFmtId="0" fontId="37" fillId="0" borderId="0" xfId="12" applyFont="1" applyAlignment="1">
      <alignment horizontal="left" vertical="top" wrapText="1"/>
    </xf>
    <xf numFmtId="0" fontId="46" fillId="0" borderId="0" xfId="12" applyFont="1" applyAlignment="1">
      <alignment horizontal="left" vertical="top" wrapText="1"/>
    </xf>
    <xf numFmtId="0" fontId="45" fillId="0" borderId="0" xfId="12" applyFont="1" applyAlignment="1">
      <alignment horizontal="right" vertical="top" wrapText="1" indent="4"/>
    </xf>
    <xf numFmtId="49" fontId="43" fillId="8" borderId="3" xfId="0" applyNumberFormat="1" applyFont="1" applyFill="1" applyBorder="1" applyAlignment="1">
      <alignment horizontal="center" vertical="center"/>
    </xf>
    <xf numFmtId="49" fontId="24" fillId="8" borderId="4" xfId="0" applyNumberFormat="1" applyFont="1" applyFill="1" applyBorder="1" applyAlignment="1">
      <alignment horizontal="center" vertical="center"/>
    </xf>
    <xf numFmtId="49" fontId="24" fillId="8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12" borderId="21" xfId="0" applyNumberFormat="1" applyFont="1" applyFill="1" applyBorder="1" applyAlignment="1">
      <alignment horizontal="center" vertical="center"/>
    </xf>
    <xf numFmtId="49" fontId="6" fillId="12" borderId="22" xfId="0" applyNumberFormat="1" applyFont="1" applyFill="1" applyBorder="1" applyAlignment="1">
      <alignment horizontal="center" vertical="center"/>
    </xf>
  </cellXfs>
  <cellStyles count="15">
    <cellStyle name="Milliers" xfId="2" builtinId="3"/>
    <cellStyle name="Milliers 2" xfId="5" xr:uid="{648974AF-A814-4527-91AA-7D813ABDF06E}"/>
    <cellStyle name="Milliers 2 2" xfId="13" xr:uid="{4EF352C4-2941-4D1D-B048-92FCD3F37585}"/>
    <cellStyle name="Milliers 2 3" xfId="14" xr:uid="{4221E62E-0B54-48F6-8338-074E1EAF9E7B}"/>
    <cellStyle name="Milliers 3" xfId="8" xr:uid="{ED699584-654A-48B4-AE6C-A009A9783F1D}"/>
    <cellStyle name="Milliers 4" xfId="11" xr:uid="{654A5D46-0CA0-46E1-8835-A21EEE461B76}"/>
    <cellStyle name="Normal" xfId="0" builtinId="0"/>
    <cellStyle name="Normal 2" xfId="1" xr:uid="{00000000-0005-0000-0000-000001000000}"/>
    <cellStyle name="Normal 2 2" xfId="12" xr:uid="{8179E05E-5437-44EC-AC57-7A15013F8D49}"/>
    <cellStyle name="Normal 3" xfId="4" xr:uid="{CBD1F6BD-AC68-49B0-90C7-33BA901D2C8D}"/>
    <cellStyle name="Normal 4" xfId="6" xr:uid="{348FDBAB-B8DD-4F53-BCA2-97BE812E9A3C}"/>
    <cellStyle name="Normal 4 2" xfId="9" xr:uid="{BE93DCFC-D12B-4544-AD9A-AA0E09A5AA1B}"/>
    <cellStyle name="Normal 5" xfId="10" xr:uid="{06BE30CD-17A2-4E9A-BFD0-00452F81EA6A}"/>
    <cellStyle name="Pourcentage" xfId="3" builtinId="5"/>
    <cellStyle name="Pourcentage 2" xfId="7" xr:uid="{2858F958-7E18-4ADA-8926-E7B03302AAAA}"/>
  </cellStyles>
  <dxfs count="0"/>
  <tableStyles count="0" defaultTableStyle="TableStyleMedium9" defaultPivotStyle="PivotStyleLight16"/>
  <colors>
    <mruColors>
      <color rgb="FFA7FBF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2984500</xdr:colOff>
      <xdr:row>0</xdr:row>
      <xdr:rowOff>182562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A008F003-2840-414C-A118-4A26CA53C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82562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2529840</xdr:colOff>
      <xdr:row>0</xdr:row>
      <xdr:rowOff>167640</xdr:rowOff>
    </xdr:from>
    <xdr:to>
      <xdr:col>2</xdr:col>
      <xdr:colOff>244475</xdr:colOff>
      <xdr:row>2</xdr:row>
      <xdr:rowOff>243840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8A3433A-C486-4D14-9154-C76C286F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" y="167640"/>
          <a:ext cx="1913255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2446020</xdr:colOff>
      <xdr:row>0</xdr:row>
      <xdr:rowOff>152400</xdr:rowOff>
    </xdr:from>
    <xdr:to>
      <xdr:col>2</xdr:col>
      <xdr:colOff>160655</xdr:colOff>
      <xdr:row>2</xdr:row>
      <xdr:rowOff>228600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9CAF38F0-92CF-4DC6-BACE-0D7688891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2770" y="152400"/>
          <a:ext cx="1800860" cy="790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1836420</xdr:colOff>
      <xdr:row>0</xdr:row>
      <xdr:rowOff>198120</xdr:rowOff>
    </xdr:from>
    <xdr:to>
      <xdr:col>2</xdr:col>
      <xdr:colOff>92075</xdr:colOff>
      <xdr:row>0</xdr:row>
      <xdr:rowOff>998220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7C39F4E-842F-43CB-BD9A-49DF6544D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98120"/>
          <a:ext cx="1913255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2377722</xdr:colOff>
      <xdr:row>0</xdr:row>
      <xdr:rowOff>105833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B64EBF9D-9453-4095-ABEA-AD9015027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722" y="105833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97028</xdr:colOff>
      <xdr:row>0</xdr:row>
      <xdr:rowOff>0</xdr:rowOff>
    </xdr:from>
    <xdr:ext cx="6606540" cy="1079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F575692-38D4-4FA3-8C44-4FC7FEA4944D}"/>
            </a:ext>
          </a:extLst>
        </xdr:cNvPr>
        <xdr:cNvSpPr/>
      </xdr:nvSpPr>
      <xdr:spPr>
        <a:xfrm>
          <a:off x="655828" y="0"/>
          <a:ext cx="6606540" cy="10795"/>
        </a:xfrm>
        <a:custGeom>
          <a:avLst/>
          <a:gdLst/>
          <a:ahLst/>
          <a:cxnLst/>
          <a:rect l="0" t="0" r="0" b="0"/>
          <a:pathLst>
            <a:path w="6606540" h="10795">
              <a:moveTo>
                <a:pt x="6606539" y="0"/>
              </a:moveTo>
              <a:lnTo>
                <a:pt x="0" y="0"/>
              </a:lnTo>
              <a:lnTo>
                <a:pt x="0" y="10667"/>
              </a:lnTo>
              <a:lnTo>
                <a:pt x="6606539" y="10667"/>
              </a:lnTo>
              <a:lnTo>
                <a:pt x="6606539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2238375</xdr:colOff>
      <xdr:row>0</xdr:row>
      <xdr:rowOff>161925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5079EA67-6270-43E6-AC16-5127AAE6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161925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2116666</xdr:colOff>
      <xdr:row>0</xdr:row>
      <xdr:rowOff>256155</xdr:rowOff>
    </xdr:from>
    <xdr:to>
      <xdr:col>0</xdr:col>
      <xdr:colOff>3831167</xdr:colOff>
      <xdr:row>0</xdr:row>
      <xdr:rowOff>973138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C660D8F-0346-4D41-A1C8-E215B90B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6" y="256155"/>
          <a:ext cx="1714501" cy="716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2EB92-786C-4AC5-8725-B5ADD38B1FF2}">
  <dimension ref="A1:G796"/>
  <sheetViews>
    <sheetView showGridLines="0" view="pageBreakPreview" topLeftCell="A747" zoomScale="80" zoomScaleNormal="100" zoomScaleSheetLayoutView="80" workbookViewId="0">
      <selection activeCell="N785" sqref="N785"/>
    </sheetView>
  </sheetViews>
  <sheetFormatPr baseColWidth="10" defaultColWidth="9.08984375" defaultRowHeight="12.5"/>
  <cols>
    <col min="1" max="1" width="10.453125" style="382" customWidth="1"/>
    <col min="2" max="2" width="62.6328125" style="382" customWidth="1"/>
    <col min="3" max="3" width="7.54296875" style="384" customWidth="1"/>
    <col min="4" max="4" width="10.81640625" style="383" customWidth="1"/>
    <col min="5" max="5" width="12.54296875" style="384" customWidth="1"/>
    <col min="6" max="6" width="16.6328125" style="384" customWidth="1"/>
    <col min="7" max="7" width="5.90625" style="382" customWidth="1"/>
    <col min="8" max="9" width="9.08984375" style="382"/>
    <col min="10" max="10" width="10" style="382" bestFit="1" customWidth="1"/>
    <col min="11" max="16384" width="9.08984375" style="382"/>
  </cols>
  <sheetData>
    <row r="1" spans="1:7" ht="76" customHeight="1" thickBot="1">
      <c r="A1" s="551"/>
      <c r="B1" s="551"/>
      <c r="C1" s="551"/>
      <c r="D1" s="551"/>
      <c r="E1" s="551"/>
      <c r="F1" s="551"/>
    </row>
    <row r="2" spans="1:7" ht="39" customHeight="1" thickBot="1">
      <c r="A2" s="555" t="s">
        <v>659</v>
      </c>
      <c r="B2" s="556"/>
      <c r="C2" s="556"/>
      <c r="D2" s="556"/>
      <c r="E2" s="556"/>
      <c r="F2" s="557"/>
    </row>
    <row r="3" spans="1:7" ht="22.25" customHeight="1" thickBot="1"/>
    <row r="4" spans="1:7" ht="23" customHeight="1" thickBot="1">
      <c r="B4" s="552" t="s">
        <v>645</v>
      </c>
      <c r="C4" s="553"/>
      <c r="D4" s="553"/>
      <c r="E4" s="554"/>
      <c r="F4" s="386"/>
    </row>
    <row r="5" spans="1:7" ht="13.25" customHeight="1" thickBot="1">
      <c r="B5" s="387"/>
      <c r="C5" s="388"/>
      <c r="D5" s="389"/>
      <c r="E5" s="390"/>
      <c r="F5" s="390"/>
    </row>
    <row r="6" spans="1:7" s="397" customFormat="1" ht="33" customHeight="1" thickBot="1">
      <c r="A6" s="469" t="s">
        <v>438</v>
      </c>
      <c r="B6" s="470" t="s">
        <v>70</v>
      </c>
      <c r="C6" s="471" t="s">
        <v>75</v>
      </c>
      <c r="D6" s="472" t="s">
        <v>76</v>
      </c>
      <c r="E6" s="473" t="s">
        <v>77</v>
      </c>
      <c r="F6" s="471" t="s">
        <v>78</v>
      </c>
      <c r="G6" s="396"/>
    </row>
    <row r="7" spans="1:7" ht="15.5" hidden="1">
      <c r="A7" s="398">
        <v>1</v>
      </c>
      <c r="B7" s="399" t="s">
        <v>439</v>
      </c>
      <c r="C7" s="400"/>
      <c r="D7" s="401"/>
      <c r="E7" s="402"/>
      <c r="F7" s="403"/>
    </row>
    <row r="8" spans="1:7" ht="15.5" hidden="1">
      <c r="A8" s="412"/>
      <c r="B8" s="399" t="s">
        <v>616</v>
      </c>
      <c r="C8" s="400"/>
      <c r="D8" s="465"/>
      <c r="E8" s="402"/>
      <c r="F8" s="402"/>
    </row>
    <row r="9" spans="1:7" ht="16" hidden="1" thickBot="1">
      <c r="A9" s="404" t="s">
        <v>5</v>
      </c>
      <c r="B9" s="405" t="s">
        <v>440</v>
      </c>
      <c r="C9" s="400" t="s">
        <v>441</v>
      </c>
      <c r="D9" s="406">
        <v>0</v>
      </c>
      <c r="E9" s="407"/>
      <c r="F9" s="402">
        <f>D9*E9</f>
        <v>0</v>
      </c>
    </row>
    <row r="10" spans="1:7" ht="16" hidden="1" thickBot="1">
      <c r="A10" s="408"/>
      <c r="B10" s="409" t="s">
        <v>442</v>
      </c>
      <c r="C10" s="393"/>
      <c r="D10" s="394"/>
      <c r="E10" s="410"/>
      <c r="F10" s="411">
        <f>F9</f>
        <v>0</v>
      </c>
    </row>
    <row r="11" spans="1:7" ht="15.5">
      <c r="A11" s="412">
        <v>2</v>
      </c>
      <c r="B11" s="413" t="s">
        <v>443</v>
      </c>
      <c r="C11" s="414"/>
      <c r="D11" s="415"/>
      <c r="E11" s="416"/>
      <c r="F11" s="402"/>
    </row>
    <row r="12" spans="1:7" ht="15.5" hidden="1">
      <c r="A12" s="404" t="s">
        <v>79</v>
      </c>
      <c r="B12" s="405" t="s">
        <v>80</v>
      </c>
      <c r="C12" s="400"/>
      <c r="D12" s="406"/>
      <c r="E12" s="402"/>
      <c r="F12" s="402"/>
    </row>
    <row r="13" spans="1:7" ht="15.5" hidden="1">
      <c r="A13" s="404" t="s">
        <v>81</v>
      </c>
      <c r="B13" s="405" t="s">
        <v>444</v>
      </c>
      <c r="C13" s="400" t="s">
        <v>10</v>
      </c>
      <c r="D13" s="406">
        <v>0</v>
      </c>
      <c r="E13" s="402"/>
      <c r="F13" s="402">
        <f>D13*E13</f>
        <v>0</v>
      </c>
    </row>
    <row r="14" spans="1:7" ht="17.399999999999999" hidden="1" customHeight="1">
      <c r="A14" s="404" t="s">
        <v>82</v>
      </c>
      <c r="B14" s="405" t="s">
        <v>83</v>
      </c>
      <c r="C14" s="400" t="s">
        <v>10</v>
      </c>
      <c r="D14" s="406">
        <v>0</v>
      </c>
      <c r="E14" s="402"/>
      <c r="F14" s="402">
        <f>D14*E14</f>
        <v>0</v>
      </c>
    </row>
    <row r="15" spans="1:7" ht="17.399999999999999" hidden="1" customHeight="1" thickBot="1">
      <c r="A15" s="404" t="s">
        <v>84</v>
      </c>
      <c r="B15" s="405" t="s">
        <v>85</v>
      </c>
      <c r="C15" s="400" t="s">
        <v>10</v>
      </c>
      <c r="D15" s="406">
        <v>0</v>
      </c>
      <c r="E15" s="402"/>
      <c r="F15" s="402">
        <f>D15*E15</f>
        <v>0</v>
      </c>
    </row>
    <row r="16" spans="1:7" ht="17.399999999999999" hidden="1" customHeight="1" thickBot="1">
      <c r="A16" s="408"/>
      <c r="B16" s="417" t="s">
        <v>445</v>
      </c>
      <c r="C16" s="393"/>
      <c r="D16" s="394"/>
      <c r="E16" s="411"/>
      <c r="F16" s="411">
        <f>SUM(F13:F15)</f>
        <v>0</v>
      </c>
    </row>
    <row r="17" spans="1:6" ht="17.399999999999999" hidden="1" customHeight="1">
      <c r="A17" s="418" t="s">
        <v>16</v>
      </c>
      <c r="B17" s="419" t="s">
        <v>294</v>
      </c>
      <c r="C17" s="420"/>
      <c r="D17" s="401"/>
      <c r="E17" s="403"/>
      <c r="F17" s="402"/>
    </row>
    <row r="18" spans="1:6" ht="17.399999999999999" hidden="1" customHeight="1">
      <c r="A18" s="421" t="s">
        <v>17</v>
      </c>
      <c r="B18" s="422" t="s">
        <v>446</v>
      </c>
      <c r="C18" s="400"/>
      <c r="D18" s="406"/>
      <c r="E18" s="402"/>
      <c r="F18" s="402"/>
    </row>
    <row r="19" spans="1:6" ht="17.399999999999999" hidden="1" customHeight="1">
      <c r="A19" s="423" t="s">
        <v>86</v>
      </c>
      <c r="B19" s="424" t="s">
        <v>87</v>
      </c>
      <c r="C19" s="400" t="s">
        <v>10</v>
      </c>
      <c r="D19" s="406">
        <v>0</v>
      </c>
      <c r="E19" s="402"/>
      <c r="F19" s="402">
        <f>D19*E19</f>
        <v>0</v>
      </c>
    </row>
    <row r="20" spans="1:6" ht="17.399999999999999" hidden="1" customHeight="1">
      <c r="A20" s="423" t="s">
        <v>88</v>
      </c>
      <c r="B20" s="424" t="s">
        <v>617</v>
      </c>
      <c r="C20" s="400"/>
      <c r="D20" s="406"/>
      <c r="E20" s="402"/>
      <c r="F20" s="402"/>
    </row>
    <row r="21" spans="1:6" ht="17.399999999999999" hidden="1" customHeight="1">
      <c r="A21" s="423" t="s">
        <v>190</v>
      </c>
      <c r="B21" s="424" t="s">
        <v>20</v>
      </c>
      <c r="C21" s="400" t="s">
        <v>10</v>
      </c>
      <c r="D21" s="406">
        <v>0</v>
      </c>
      <c r="E21" s="402"/>
      <c r="F21" s="402">
        <f>D21*E21</f>
        <v>0</v>
      </c>
    </row>
    <row r="22" spans="1:6" ht="17.399999999999999" hidden="1" customHeight="1">
      <c r="A22" s="423" t="s">
        <v>448</v>
      </c>
      <c r="B22" s="424" t="s">
        <v>449</v>
      </c>
      <c r="C22" s="400" t="s">
        <v>23</v>
      </c>
      <c r="D22" s="406">
        <f>D21*40</f>
        <v>0</v>
      </c>
      <c r="E22" s="402"/>
      <c r="F22" s="402">
        <f>D22*E22</f>
        <v>0</v>
      </c>
    </row>
    <row r="23" spans="1:6" ht="17.399999999999999" hidden="1" customHeight="1">
      <c r="A23" s="423" t="s">
        <v>450</v>
      </c>
      <c r="B23" s="424" t="s">
        <v>451</v>
      </c>
      <c r="C23" s="400" t="s">
        <v>4</v>
      </c>
      <c r="D23" s="406">
        <v>0</v>
      </c>
      <c r="E23" s="402"/>
      <c r="F23" s="402">
        <f>D23*E23</f>
        <v>0</v>
      </c>
    </row>
    <row r="24" spans="1:6" ht="17.399999999999999" hidden="1" customHeight="1">
      <c r="A24" s="423" t="s">
        <v>89</v>
      </c>
      <c r="B24" s="424" t="s">
        <v>618</v>
      </c>
      <c r="C24" s="400"/>
      <c r="D24" s="406"/>
      <c r="E24" s="402"/>
      <c r="F24" s="402"/>
    </row>
    <row r="25" spans="1:6" ht="17.399999999999999" hidden="1" customHeight="1">
      <c r="A25" s="423" t="s">
        <v>193</v>
      </c>
      <c r="B25" s="424" t="s">
        <v>20</v>
      </c>
      <c r="C25" s="400" t="s">
        <v>10</v>
      </c>
      <c r="D25" s="406">
        <v>0</v>
      </c>
      <c r="E25" s="402"/>
      <c r="F25" s="402">
        <f>D25*E25</f>
        <v>0</v>
      </c>
    </row>
    <row r="26" spans="1:6" ht="17.399999999999999" hidden="1" customHeight="1">
      <c r="A26" s="423" t="s">
        <v>191</v>
      </c>
      <c r="B26" s="424" t="s">
        <v>359</v>
      </c>
      <c r="C26" s="400" t="s">
        <v>23</v>
      </c>
      <c r="D26" s="406">
        <f>D25*80</f>
        <v>0</v>
      </c>
      <c r="E26" s="402"/>
      <c r="F26" s="402">
        <f>D26*E26</f>
        <v>0</v>
      </c>
    </row>
    <row r="27" spans="1:6" ht="17.399999999999999" hidden="1" customHeight="1">
      <c r="A27" s="423" t="s">
        <v>194</v>
      </c>
      <c r="B27" s="424" t="s">
        <v>21</v>
      </c>
      <c r="C27" s="400" t="s">
        <v>4</v>
      </c>
      <c r="D27" s="406">
        <f>D25*12</f>
        <v>0</v>
      </c>
      <c r="E27" s="402"/>
      <c r="F27" s="402">
        <f>D27*E27</f>
        <v>0</v>
      </c>
    </row>
    <row r="28" spans="1:6" ht="17.399999999999999" hidden="1" customHeight="1">
      <c r="A28" s="423" t="s">
        <v>90</v>
      </c>
      <c r="B28" s="424" t="s">
        <v>453</v>
      </c>
      <c r="C28" s="400"/>
      <c r="D28" s="406"/>
      <c r="E28" s="402"/>
      <c r="F28" s="402"/>
    </row>
    <row r="29" spans="1:6" ht="17.399999999999999" hidden="1" customHeight="1">
      <c r="A29" s="423" t="s">
        <v>196</v>
      </c>
      <c r="B29" s="424" t="s">
        <v>20</v>
      </c>
      <c r="C29" s="400" t="s">
        <v>10</v>
      </c>
      <c r="D29" s="406">
        <v>0</v>
      </c>
      <c r="E29" s="402"/>
      <c r="F29" s="402">
        <f>D29*E29</f>
        <v>0</v>
      </c>
    </row>
    <row r="30" spans="1:6" ht="15.5" hidden="1">
      <c r="A30" s="423" t="s">
        <v>197</v>
      </c>
      <c r="B30" s="424" t="s">
        <v>22</v>
      </c>
      <c r="C30" s="400" t="s">
        <v>23</v>
      </c>
      <c r="D30" s="406">
        <f>D29*80</f>
        <v>0</v>
      </c>
      <c r="E30" s="402"/>
      <c r="F30" s="402">
        <f>D30*E30</f>
        <v>0</v>
      </c>
    </row>
    <row r="31" spans="1:6" ht="15.5" hidden="1">
      <c r="A31" s="423" t="s">
        <v>198</v>
      </c>
      <c r="B31" s="424" t="s">
        <v>21</v>
      </c>
      <c r="C31" s="400" t="s">
        <v>4</v>
      </c>
      <c r="D31" s="406">
        <f>D29*12</f>
        <v>0</v>
      </c>
      <c r="E31" s="402"/>
      <c r="F31" s="402">
        <f>D31*E31</f>
        <v>0</v>
      </c>
    </row>
    <row r="32" spans="1:6" ht="15.5" hidden="1">
      <c r="A32" s="423" t="s">
        <v>91</v>
      </c>
      <c r="B32" s="424" t="s">
        <v>454</v>
      </c>
      <c r="C32" s="400" t="s">
        <v>4</v>
      </c>
      <c r="D32" s="406">
        <v>0</v>
      </c>
      <c r="E32" s="402"/>
      <c r="F32" s="402">
        <f>D32*E32</f>
        <v>0</v>
      </c>
    </row>
    <row r="33" spans="1:7" s="385" customFormat="1" ht="15.5">
      <c r="A33" s="423" t="s">
        <v>92</v>
      </c>
      <c r="B33" s="424" t="s">
        <v>367</v>
      </c>
      <c r="C33" s="400"/>
      <c r="D33" s="406"/>
      <c r="E33" s="402"/>
      <c r="F33" s="402"/>
      <c r="G33" s="382"/>
    </row>
    <row r="34" spans="1:7" s="385" customFormat="1" ht="15.5">
      <c r="A34" s="423" t="s">
        <v>201</v>
      </c>
      <c r="B34" s="426" t="s">
        <v>456</v>
      </c>
      <c r="C34" s="400" t="s">
        <v>4</v>
      </c>
      <c r="D34" s="406">
        <f>8*8.94*3+31.25*2+8*3.8</f>
        <v>307.45999999999998</v>
      </c>
      <c r="E34" s="402"/>
      <c r="F34" s="402">
        <f>D34*E34</f>
        <v>0</v>
      </c>
      <c r="G34" s="382"/>
    </row>
    <row r="35" spans="1:7" ht="15.5">
      <c r="A35" s="423" t="s">
        <v>457</v>
      </c>
      <c r="B35" s="426" t="s">
        <v>619</v>
      </c>
      <c r="C35" s="427" t="s">
        <v>10</v>
      </c>
      <c r="D35" s="428">
        <f>D34*0.1</f>
        <v>30.745999999999999</v>
      </c>
      <c r="E35" s="407"/>
      <c r="F35" s="402">
        <f>D35*E35</f>
        <v>0</v>
      </c>
    </row>
    <row r="36" spans="1:7" ht="15.5">
      <c r="A36" s="423" t="s">
        <v>459</v>
      </c>
      <c r="B36" s="424" t="s">
        <v>620</v>
      </c>
      <c r="C36" s="400" t="s">
        <v>23</v>
      </c>
      <c r="D36" s="406">
        <f>D34*3</f>
        <v>922.37999999999988</v>
      </c>
      <c r="E36" s="402"/>
      <c r="F36" s="402">
        <f>D36*E36</f>
        <v>0</v>
      </c>
    </row>
    <row r="37" spans="1:7" ht="15.5">
      <c r="A37" s="423" t="s">
        <v>461</v>
      </c>
      <c r="B37" s="424" t="s">
        <v>93</v>
      </c>
      <c r="C37" s="400" t="s">
        <v>4</v>
      </c>
      <c r="D37" s="406">
        <f>D34</f>
        <v>307.45999999999998</v>
      </c>
      <c r="E37" s="402"/>
      <c r="F37" s="402">
        <f>D37*E37</f>
        <v>0</v>
      </c>
    </row>
    <row r="38" spans="1:7" ht="15.5">
      <c r="A38" s="423" t="s">
        <v>94</v>
      </c>
      <c r="B38" s="429" t="s">
        <v>95</v>
      </c>
      <c r="C38" s="400"/>
      <c r="D38" s="400"/>
      <c r="E38" s="402"/>
      <c r="F38" s="402"/>
    </row>
    <row r="39" spans="1:7" ht="46.5">
      <c r="A39" s="423" t="s">
        <v>462</v>
      </c>
      <c r="B39" s="430" t="s">
        <v>463</v>
      </c>
      <c r="C39" s="400" t="s">
        <v>4</v>
      </c>
      <c r="D39" s="400">
        <f>31.25*0.44*2</f>
        <v>27.5</v>
      </c>
      <c r="E39" s="402"/>
      <c r="F39" s="402">
        <f>D39*E39</f>
        <v>0</v>
      </c>
    </row>
    <row r="40" spans="1:7" ht="15.5">
      <c r="A40" s="423" t="s">
        <v>464</v>
      </c>
      <c r="B40" s="426" t="s">
        <v>96</v>
      </c>
      <c r="C40" s="400" t="s">
        <v>10</v>
      </c>
      <c r="D40" s="400">
        <f>31.25*0.4*0.4</f>
        <v>5</v>
      </c>
      <c r="E40" s="402"/>
      <c r="F40" s="402">
        <f>D40*E40</f>
        <v>0</v>
      </c>
    </row>
    <row r="41" spans="1:7" ht="15.5">
      <c r="A41" s="423" t="s">
        <v>465</v>
      </c>
      <c r="B41" s="426" t="s">
        <v>97</v>
      </c>
      <c r="C41" s="400" t="s">
        <v>10</v>
      </c>
      <c r="D41" s="400">
        <f>31.25*0.4*0.1</f>
        <v>1.25</v>
      </c>
      <c r="E41" s="402"/>
      <c r="F41" s="402">
        <f>D41*E41</f>
        <v>0</v>
      </c>
    </row>
    <row r="42" spans="1:7" ht="15.5">
      <c r="A42" s="423" t="s">
        <v>94</v>
      </c>
      <c r="B42" s="429" t="s">
        <v>466</v>
      </c>
      <c r="C42" s="400"/>
      <c r="D42" s="400"/>
      <c r="E42" s="402"/>
      <c r="F42" s="402"/>
    </row>
    <row r="43" spans="1:7" ht="46.5">
      <c r="A43" s="423" t="s">
        <v>462</v>
      </c>
      <c r="B43" s="430" t="s">
        <v>467</v>
      </c>
      <c r="C43" s="400" t="s">
        <v>4</v>
      </c>
      <c r="D43" s="400">
        <f>31.25*1.5</f>
        <v>46.875</v>
      </c>
      <c r="E43" s="402"/>
      <c r="F43" s="402">
        <f>D43*E43</f>
        <v>0</v>
      </c>
    </row>
    <row r="44" spans="1:7" ht="21.65" customHeight="1">
      <c r="A44" s="421" t="s">
        <v>24</v>
      </c>
      <c r="B44" s="422" t="s">
        <v>468</v>
      </c>
      <c r="C44" s="414"/>
      <c r="D44" s="406"/>
      <c r="E44" s="431"/>
      <c r="F44" s="402"/>
    </row>
    <row r="45" spans="1:7" ht="15.5">
      <c r="A45" s="423" t="s">
        <v>399</v>
      </c>
      <c r="B45" s="424" t="s">
        <v>472</v>
      </c>
      <c r="C45" s="400" t="s">
        <v>4</v>
      </c>
      <c r="D45" s="406">
        <f>27*3*0.15*0</f>
        <v>0</v>
      </c>
      <c r="E45" s="402"/>
      <c r="F45" s="402">
        <f>D45*E45</f>
        <v>0</v>
      </c>
    </row>
    <row r="46" spans="1:7" ht="15.5">
      <c r="A46" s="423" t="s">
        <v>399</v>
      </c>
      <c r="B46" s="424" t="s">
        <v>621</v>
      </c>
      <c r="C46" s="400" t="s">
        <v>4</v>
      </c>
      <c r="D46" s="406">
        <f>(2*10*0.66+3*8*0.66)*0</f>
        <v>0</v>
      </c>
      <c r="E46" s="402"/>
      <c r="F46" s="402">
        <f>D46*E46</f>
        <v>0</v>
      </c>
    </row>
    <row r="47" spans="1:7" ht="15.5">
      <c r="A47" s="423" t="s">
        <v>26</v>
      </c>
      <c r="B47" s="424" t="s">
        <v>622</v>
      </c>
      <c r="C47" s="400" t="s">
        <v>4</v>
      </c>
      <c r="D47" s="406">
        <f>(31.25*3*0.44+10*2*0.44+5*8*0.44)</f>
        <v>67.650000000000006</v>
      </c>
      <c r="E47" s="402"/>
      <c r="F47" s="402">
        <f>D47*E47</f>
        <v>0</v>
      </c>
    </row>
    <row r="48" spans="1:7" ht="15.5" hidden="1">
      <c r="A48" s="423" t="s">
        <v>399</v>
      </c>
      <c r="B48" s="424" t="s">
        <v>623</v>
      </c>
      <c r="C48" s="400" t="s">
        <v>4</v>
      </c>
      <c r="D48" s="406">
        <v>0</v>
      </c>
      <c r="E48" s="402"/>
      <c r="F48" s="402">
        <f>D48*E48</f>
        <v>0</v>
      </c>
    </row>
    <row r="49" spans="1:6" ht="15.5" hidden="1">
      <c r="A49" s="423" t="s">
        <v>400</v>
      </c>
      <c r="B49" s="424" t="s">
        <v>98</v>
      </c>
      <c r="C49" s="400"/>
      <c r="D49" s="406"/>
      <c r="E49" s="402"/>
      <c r="F49" s="402"/>
    </row>
    <row r="50" spans="1:6" ht="15.5" hidden="1">
      <c r="A50" s="423" t="s">
        <v>474</v>
      </c>
      <c r="B50" s="424" t="s">
        <v>20</v>
      </c>
      <c r="C50" s="400" t="s">
        <v>10</v>
      </c>
      <c r="D50" s="406">
        <f>27*0.2*0.15*4*0</f>
        <v>0</v>
      </c>
      <c r="E50" s="402"/>
      <c r="F50" s="402">
        <f>D50*E50</f>
        <v>0</v>
      </c>
    </row>
    <row r="51" spans="1:6" ht="15.5" hidden="1">
      <c r="A51" s="423" t="s">
        <v>475</v>
      </c>
      <c r="B51" s="424" t="s">
        <v>22</v>
      </c>
      <c r="C51" s="400" t="s">
        <v>23</v>
      </c>
      <c r="D51" s="406">
        <f>D50*80</f>
        <v>0</v>
      </c>
      <c r="E51" s="402"/>
      <c r="F51" s="402">
        <f>D51*E51</f>
        <v>0</v>
      </c>
    </row>
    <row r="52" spans="1:6" ht="15.5" hidden="1">
      <c r="A52" s="423" t="s">
        <v>476</v>
      </c>
      <c r="B52" s="424" t="s">
        <v>21</v>
      </c>
      <c r="C52" s="400" t="s">
        <v>4</v>
      </c>
      <c r="D52" s="406">
        <f>D50*12</f>
        <v>0</v>
      </c>
      <c r="E52" s="402"/>
      <c r="F52" s="402">
        <f>D52*E52</f>
        <v>0</v>
      </c>
    </row>
    <row r="53" spans="1:6" ht="15.5" hidden="1">
      <c r="A53" s="423" t="s">
        <v>27</v>
      </c>
      <c r="B53" s="424" t="s">
        <v>624</v>
      </c>
      <c r="C53" s="400"/>
      <c r="D53" s="406"/>
      <c r="E53" s="402"/>
      <c r="F53" s="402"/>
    </row>
    <row r="54" spans="1:6" s="433" customFormat="1" ht="15.5" hidden="1">
      <c r="A54" s="432" t="s">
        <v>209</v>
      </c>
      <c r="B54" s="426" t="s">
        <v>20</v>
      </c>
      <c r="C54" s="427" t="s">
        <v>10</v>
      </c>
      <c r="D54" s="428">
        <v>0</v>
      </c>
      <c r="E54" s="407"/>
      <c r="F54" s="407">
        <f t="shared" ref="F54:F60" si="0">D54*E54</f>
        <v>0</v>
      </c>
    </row>
    <row r="55" spans="1:6" ht="15.5" hidden="1">
      <c r="A55" s="423" t="s">
        <v>210</v>
      </c>
      <c r="B55" s="424" t="s">
        <v>22</v>
      </c>
      <c r="C55" s="400" t="s">
        <v>23</v>
      </c>
      <c r="D55" s="406">
        <f>D54*80</f>
        <v>0</v>
      </c>
      <c r="E55" s="402"/>
      <c r="F55" s="402">
        <f t="shared" si="0"/>
        <v>0</v>
      </c>
    </row>
    <row r="56" spans="1:6" ht="15.5" hidden="1">
      <c r="A56" s="423" t="s">
        <v>211</v>
      </c>
      <c r="B56" s="424" t="s">
        <v>100</v>
      </c>
      <c r="C56" s="400" t="s">
        <v>4</v>
      </c>
      <c r="D56" s="406">
        <f>D54*2</f>
        <v>0</v>
      </c>
      <c r="E56" s="402"/>
      <c r="F56" s="402">
        <f t="shared" si="0"/>
        <v>0</v>
      </c>
    </row>
    <row r="57" spans="1:6" ht="15.5" hidden="1">
      <c r="A57" s="423" t="s">
        <v>101</v>
      </c>
      <c r="B57" s="424" t="s">
        <v>477</v>
      </c>
      <c r="C57" s="400"/>
      <c r="D57" s="406"/>
      <c r="E57" s="402"/>
      <c r="F57" s="402">
        <f t="shared" si="0"/>
        <v>0</v>
      </c>
    </row>
    <row r="58" spans="1:6" ht="15.5" hidden="1">
      <c r="A58" s="423" t="s">
        <v>478</v>
      </c>
      <c r="B58" s="424" t="s">
        <v>20</v>
      </c>
      <c r="C58" s="400" t="s">
        <v>10</v>
      </c>
      <c r="D58" s="406">
        <v>0</v>
      </c>
      <c r="E58" s="402"/>
      <c r="F58" s="402">
        <f t="shared" si="0"/>
        <v>0</v>
      </c>
    </row>
    <row r="59" spans="1:6" ht="15.5" hidden="1">
      <c r="A59" s="423" t="s">
        <v>479</v>
      </c>
      <c r="B59" s="424" t="s">
        <v>480</v>
      </c>
      <c r="C59" s="400" t="s">
        <v>23</v>
      </c>
      <c r="D59" s="406">
        <v>0</v>
      </c>
      <c r="E59" s="402"/>
      <c r="F59" s="402">
        <f t="shared" si="0"/>
        <v>0</v>
      </c>
    </row>
    <row r="60" spans="1:6" ht="15.5" hidden="1">
      <c r="A60" s="423" t="s">
        <v>481</v>
      </c>
      <c r="B60" s="424" t="s">
        <v>100</v>
      </c>
      <c r="C60" s="400" t="s">
        <v>4</v>
      </c>
      <c r="D60" s="406">
        <v>0</v>
      </c>
      <c r="E60" s="402"/>
      <c r="F60" s="402">
        <f t="shared" si="0"/>
        <v>0</v>
      </c>
    </row>
    <row r="61" spans="1:6" ht="15.5">
      <c r="A61" s="423" t="s">
        <v>28</v>
      </c>
      <c r="B61" s="424" t="s">
        <v>102</v>
      </c>
      <c r="C61" s="400"/>
      <c r="D61" s="406"/>
      <c r="E61" s="402"/>
      <c r="F61" s="402"/>
    </row>
    <row r="62" spans="1:6" ht="15.5">
      <c r="A62" s="423"/>
      <c r="B62" s="424" t="s">
        <v>483</v>
      </c>
      <c r="C62" s="400"/>
      <c r="D62" s="406"/>
      <c r="E62" s="402"/>
      <c r="F62" s="402"/>
    </row>
    <row r="63" spans="1:6" ht="15.5">
      <c r="A63" s="423" t="s">
        <v>484</v>
      </c>
      <c r="B63" s="424" t="s">
        <v>20</v>
      </c>
      <c r="C63" s="400" t="s">
        <v>10</v>
      </c>
      <c r="D63" s="406">
        <f>(12*2*0.1*0.15+10*3*0.1*0.15)</f>
        <v>0.81</v>
      </c>
      <c r="E63" s="402"/>
      <c r="F63" s="402">
        <f t="shared" ref="F63:F69" si="1">D63*E63</f>
        <v>0</v>
      </c>
    </row>
    <row r="64" spans="1:6" ht="15.5">
      <c r="A64" s="423" t="s">
        <v>485</v>
      </c>
      <c r="B64" s="424" t="s">
        <v>22</v>
      </c>
      <c r="C64" s="400" t="s">
        <v>23</v>
      </c>
      <c r="D64" s="406">
        <f>D63*80</f>
        <v>64.800000000000011</v>
      </c>
      <c r="E64" s="402"/>
      <c r="F64" s="402">
        <f t="shared" si="1"/>
        <v>0</v>
      </c>
    </row>
    <row r="65" spans="1:6" ht="15.5">
      <c r="A65" s="423" t="s">
        <v>486</v>
      </c>
      <c r="B65" s="424" t="s">
        <v>100</v>
      </c>
      <c r="C65" s="400" t="s">
        <v>4</v>
      </c>
      <c r="D65" s="406">
        <f>D63*2</f>
        <v>1.62</v>
      </c>
      <c r="E65" s="402"/>
      <c r="F65" s="402">
        <f t="shared" si="1"/>
        <v>0</v>
      </c>
    </row>
    <row r="66" spans="1:6" ht="15.5" hidden="1">
      <c r="A66" s="423" t="s">
        <v>29</v>
      </c>
      <c r="B66" s="424" t="s">
        <v>487</v>
      </c>
      <c r="C66" s="400"/>
      <c r="D66" s="406"/>
      <c r="E66" s="402"/>
      <c r="F66" s="402">
        <f t="shared" si="1"/>
        <v>0</v>
      </c>
    </row>
    <row r="67" spans="1:6" ht="15.5" hidden="1">
      <c r="A67" s="423" t="s">
        <v>213</v>
      </c>
      <c r="B67" s="424" t="s">
        <v>20</v>
      </c>
      <c r="C67" s="400" t="s">
        <v>10</v>
      </c>
      <c r="D67" s="406">
        <v>0</v>
      </c>
      <c r="E67" s="402"/>
      <c r="F67" s="402">
        <f t="shared" si="1"/>
        <v>0</v>
      </c>
    </row>
    <row r="68" spans="1:6" ht="15.5" hidden="1">
      <c r="A68" s="423" t="s">
        <v>214</v>
      </c>
      <c r="B68" s="424" t="s">
        <v>22</v>
      </c>
      <c r="C68" s="400" t="s">
        <v>23</v>
      </c>
      <c r="D68" s="406">
        <v>0</v>
      </c>
      <c r="E68" s="402"/>
      <c r="F68" s="402">
        <f t="shared" si="1"/>
        <v>0</v>
      </c>
    </row>
    <row r="69" spans="1:6" ht="16" hidden="1" thickBot="1">
      <c r="A69" s="434" t="s">
        <v>215</v>
      </c>
      <c r="B69" s="435" t="s">
        <v>100</v>
      </c>
      <c r="C69" s="436" t="s">
        <v>4</v>
      </c>
      <c r="D69" s="406">
        <v>0</v>
      </c>
      <c r="E69" s="402"/>
      <c r="F69" s="402">
        <f t="shared" si="1"/>
        <v>0</v>
      </c>
    </row>
    <row r="70" spans="1:6" ht="15.5">
      <c r="A70" s="423" t="s">
        <v>216</v>
      </c>
      <c r="B70" s="424" t="s">
        <v>33</v>
      </c>
      <c r="C70" s="400"/>
      <c r="D70" s="406"/>
      <c r="E70" s="402"/>
      <c r="F70" s="402"/>
    </row>
    <row r="71" spans="1:6" ht="15.5">
      <c r="A71" s="423" t="s">
        <v>217</v>
      </c>
      <c r="B71" s="424" t="s">
        <v>488</v>
      </c>
      <c r="C71" s="400" t="s">
        <v>4</v>
      </c>
      <c r="D71" s="406">
        <f>D47*2*1.1</f>
        <v>148.83000000000001</v>
      </c>
      <c r="E71" s="402"/>
      <c r="F71" s="402">
        <f>D71*E71</f>
        <v>0</v>
      </c>
    </row>
    <row r="72" spans="1:6" ht="15.5">
      <c r="A72" s="423" t="s">
        <v>489</v>
      </c>
      <c r="B72" s="424" t="s">
        <v>490</v>
      </c>
      <c r="C72" s="400" t="s">
        <v>4</v>
      </c>
      <c r="D72" s="406">
        <v>0</v>
      </c>
      <c r="E72" s="402"/>
      <c r="F72" s="402">
        <f>D72*E72</f>
        <v>0</v>
      </c>
    </row>
    <row r="73" spans="1:6" ht="15.5">
      <c r="A73" s="423" t="s">
        <v>491</v>
      </c>
      <c r="B73" s="424" t="s">
        <v>103</v>
      </c>
      <c r="C73" s="400"/>
      <c r="D73" s="406"/>
      <c r="E73" s="402"/>
      <c r="F73" s="402"/>
    </row>
    <row r="74" spans="1:6" ht="15.5">
      <c r="A74" s="423"/>
      <c r="B74" s="424" t="s">
        <v>492</v>
      </c>
      <c r="C74" s="400" t="s">
        <v>4</v>
      </c>
      <c r="D74" s="406">
        <v>0</v>
      </c>
      <c r="E74" s="402"/>
      <c r="F74" s="402">
        <f>D74*E74</f>
        <v>0</v>
      </c>
    </row>
    <row r="75" spans="1:6" ht="17.5">
      <c r="A75" s="423" t="s">
        <v>491</v>
      </c>
      <c r="B75" s="424" t="s">
        <v>493</v>
      </c>
      <c r="C75" s="400" t="s">
        <v>104</v>
      </c>
      <c r="D75" s="406">
        <v>0</v>
      </c>
      <c r="E75" s="402"/>
      <c r="F75" s="402">
        <f>D75*E75</f>
        <v>0</v>
      </c>
    </row>
    <row r="76" spans="1:6" ht="15.5">
      <c r="A76" s="421" t="s">
        <v>6</v>
      </c>
      <c r="B76" s="422" t="s">
        <v>34</v>
      </c>
      <c r="C76" s="400"/>
      <c r="D76" s="406"/>
      <c r="E76" s="402"/>
      <c r="F76" s="402"/>
    </row>
    <row r="77" spans="1:6" ht="15.5">
      <c r="A77" s="423" t="s">
        <v>221</v>
      </c>
      <c r="B77" s="424" t="s">
        <v>625</v>
      </c>
      <c r="C77" s="400" t="s">
        <v>9</v>
      </c>
      <c r="D77" s="406">
        <v>4</v>
      </c>
      <c r="E77" s="402"/>
      <c r="F77" s="402">
        <f>D77*E77</f>
        <v>0</v>
      </c>
    </row>
    <row r="78" spans="1:6" ht="15.5">
      <c r="A78" s="423" t="s">
        <v>221</v>
      </c>
      <c r="B78" s="424" t="s">
        <v>495</v>
      </c>
      <c r="C78" s="400" t="s">
        <v>9</v>
      </c>
      <c r="D78" s="406">
        <v>3</v>
      </c>
      <c r="E78" s="402"/>
      <c r="F78" s="402">
        <f>D78*E78</f>
        <v>0</v>
      </c>
    </row>
    <row r="79" spans="1:6" ht="15.5">
      <c r="A79" s="423" t="s">
        <v>30</v>
      </c>
      <c r="B79" s="422" t="s">
        <v>35</v>
      </c>
      <c r="C79" s="400"/>
      <c r="D79" s="406"/>
      <c r="E79" s="402"/>
      <c r="F79" s="402"/>
    </row>
    <row r="80" spans="1:6" ht="15.5">
      <c r="A80" s="423" t="s">
        <v>496</v>
      </c>
      <c r="B80" s="424" t="s">
        <v>497</v>
      </c>
      <c r="C80" s="400" t="s">
        <v>182</v>
      </c>
      <c r="D80" s="406">
        <v>1</v>
      </c>
      <c r="E80" s="402"/>
      <c r="F80" s="402">
        <f>D80*E80</f>
        <v>0</v>
      </c>
    </row>
    <row r="81" spans="1:6" ht="15.5">
      <c r="A81" s="423" t="s">
        <v>496</v>
      </c>
      <c r="B81" s="424" t="s">
        <v>105</v>
      </c>
      <c r="C81" s="400" t="s">
        <v>10</v>
      </c>
      <c r="D81" s="439">
        <v>3.87</v>
      </c>
      <c r="E81" s="402"/>
      <c r="F81" s="402">
        <f>D81*E81</f>
        <v>0</v>
      </c>
    </row>
    <row r="82" spans="1:6" ht="15.5">
      <c r="A82" s="423" t="s">
        <v>498</v>
      </c>
      <c r="B82" s="405" t="s">
        <v>499</v>
      </c>
      <c r="C82" s="400" t="s">
        <v>10</v>
      </c>
      <c r="D82" s="439">
        <v>1.718</v>
      </c>
      <c r="E82" s="402"/>
      <c r="F82" s="402">
        <f>D82*E82</f>
        <v>0</v>
      </c>
    </row>
    <row r="83" spans="1:6" ht="15.5">
      <c r="A83" s="423" t="s">
        <v>500</v>
      </c>
      <c r="B83" s="424" t="s">
        <v>87</v>
      </c>
      <c r="C83" s="400" t="s">
        <v>10</v>
      </c>
      <c r="D83" s="439">
        <v>0.96799999999999997</v>
      </c>
      <c r="E83" s="402"/>
      <c r="F83" s="402">
        <f>D83*E83</f>
        <v>0</v>
      </c>
    </row>
    <row r="84" spans="1:6" ht="15.5">
      <c r="A84" s="423" t="s">
        <v>223</v>
      </c>
      <c r="B84" s="424" t="s">
        <v>106</v>
      </c>
      <c r="C84" s="400" t="s">
        <v>4</v>
      </c>
      <c r="D84" s="439">
        <v>19.350000000000001</v>
      </c>
      <c r="E84" s="402"/>
      <c r="F84" s="402">
        <f>D84*E84</f>
        <v>0</v>
      </c>
    </row>
    <row r="85" spans="1:6" ht="15.5">
      <c r="A85" s="423" t="s">
        <v>501</v>
      </c>
      <c r="B85" s="424" t="s">
        <v>502</v>
      </c>
      <c r="C85" s="400"/>
      <c r="D85" s="439"/>
      <c r="E85" s="402"/>
      <c r="F85" s="402"/>
    </row>
    <row r="86" spans="1:6" ht="15.5">
      <c r="A86" s="423" t="s">
        <v>503</v>
      </c>
      <c r="B86" s="424" t="s">
        <v>20</v>
      </c>
      <c r="C86" s="400" t="s">
        <v>10</v>
      </c>
      <c r="D86" s="439">
        <v>1.292</v>
      </c>
      <c r="E86" s="402"/>
      <c r="F86" s="402">
        <f>D86*E86</f>
        <v>0</v>
      </c>
    </row>
    <row r="87" spans="1:6" ht="15.5">
      <c r="A87" s="423" t="s">
        <v>504</v>
      </c>
      <c r="B87" s="424" t="s">
        <v>100</v>
      </c>
      <c r="C87" s="400" t="s">
        <v>4</v>
      </c>
      <c r="D87" s="439">
        <v>2.58</v>
      </c>
      <c r="E87" s="402"/>
      <c r="F87" s="402">
        <f>D87*E87</f>
        <v>0</v>
      </c>
    </row>
    <row r="88" spans="1:6" ht="15.5">
      <c r="A88" s="423" t="s">
        <v>505</v>
      </c>
      <c r="B88" s="424" t="s">
        <v>506</v>
      </c>
      <c r="C88" s="400" t="s">
        <v>4</v>
      </c>
      <c r="D88" s="439">
        <v>7.09</v>
      </c>
      <c r="E88" s="402"/>
      <c r="F88" s="402">
        <f>D88*E88</f>
        <v>0</v>
      </c>
    </row>
    <row r="89" spans="1:6" ht="15.5">
      <c r="A89" s="423" t="s">
        <v>31</v>
      </c>
      <c r="B89" s="422" t="s">
        <v>36</v>
      </c>
      <c r="C89" s="400"/>
      <c r="D89" s="406"/>
      <c r="E89" s="402"/>
      <c r="F89" s="402"/>
    </row>
    <row r="90" spans="1:6" ht="15.5">
      <c r="A90" s="423" t="s">
        <v>507</v>
      </c>
      <c r="B90" s="424" t="s">
        <v>105</v>
      </c>
      <c r="C90" s="400" t="s">
        <v>10</v>
      </c>
      <c r="D90" s="406">
        <f>(2*2+1.2)*0.4*0.4</f>
        <v>0.83200000000000007</v>
      </c>
      <c r="E90" s="402"/>
      <c r="F90" s="402">
        <f>D90*E90</f>
        <v>0</v>
      </c>
    </row>
    <row r="91" spans="1:6" ht="15.5">
      <c r="A91" s="423" t="s">
        <v>508</v>
      </c>
      <c r="B91" s="405" t="s">
        <v>107</v>
      </c>
      <c r="C91" s="400" t="s">
        <v>10</v>
      </c>
      <c r="D91" s="406">
        <v>0</v>
      </c>
      <c r="E91" s="402"/>
      <c r="F91" s="402">
        <f>D91*E91</f>
        <v>0</v>
      </c>
    </row>
    <row r="92" spans="1:6" ht="15.5">
      <c r="A92" s="423" t="s">
        <v>509</v>
      </c>
      <c r="B92" s="424" t="s">
        <v>87</v>
      </c>
      <c r="C92" s="400" t="s">
        <v>10</v>
      </c>
      <c r="D92" s="406">
        <f>(4+1.2)*0.4*0.05</f>
        <v>0.10400000000000001</v>
      </c>
      <c r="E92" s="402"/>
      <c r="F92" s="402">
        <f>D92*E92</f>
        <v>0</v>
      </c>
    </row>
    <row r="93" spans="1:6" ht="15.5">
      <c r="A93" s="423" t="s">
        <v>510</v>
      </c>
      <c r="B93" s="424" t="s">
        <v>106</v>
      </c>
      <c r="C93" s="400" t="s">
        <v>4</v>
      </c>
      <c r="D93" s="406">
        <f>2*2*0.4</f>
        <v>1.6</v>
      </c>
      <c r="E93" s="402"/>
      <c r="F93" s="402">
        <f>D93*E93</f>
        <v>0</v>
      </c>
    </row>
    <row r="94" spans="1:6" ht="15.5">
      <c r="A94" s="423" t="s">
        <v>32</v>
      </c>
      <c r="B94" s="424" t="s">
        <v>511</v>
      </c>
      <c r="C94" s="400"/>
      <c r="D94" s="406"/>
      <c r="E94" s="402"/>
      <c r="F94" s="402"/>
    </row>
    <row r="95" spans="1:6" ht="15.5">
      <c r="A95" s="423" t="s">
        <v>512</v>
      </c>
      <c r="B95" s="424" t="s">
        <v>20</v>
      </c>
      <c r="C95" s="400" t="s">
        <v>10</v>
      </c>
      <c r="D95" s="406">
        <f>2*2.2*0.15</f>
        <v>0.66</v>
      </c>
      <c r="E95" s="402"/>
      <c r="F95" s="402">
        <f t="shared" ref="F95:F106" si="2">D95*E95</f>
        <v>0</v>
      </c>
    </row>
    <row r="96" spans="1:6" ht="15.5">
      <c r="A96" s="423" t="s">
        <v>513</v>
      </c>
      <c r="B96" s="424" t="s">
        <v>302</v>
      </c>
      <c r="C96" s="400" t="s">
        <v>23</v>
      </c>
      <c r="D96" s="406">
        <f>D95*12</f>
        <v>7.92</v>
      </c>
      <c r="E96" s="402"/>
      <c r="F96" s="402">
        <f t="shared" si="2"/>
        <v>0</v>
      </c>
    </row>
    <row r="97" spans="1:6" ht="15.5">
      <c r="A97" s="423" t="s">
        <v>514</v>
      </c>
      <c r="B97" s="424" t="s">
        <v>100</v>
      </c>
      <c r="C97" s="400" t="s">
        <v>4</v>
      </c>
      <c r="D97" s="406">
        <f>D95*2</f>
        <v>1.32</v>
      </c>
      <c r="E97" s="402"/>
      <c r="F97" s="402">
        <f t="shared" si="2"/>
        <v>0</v>
      </c>
    </row>
    <row r="98" spans="1:6" ht="15.5" hidden="1">
      <c r="A98" s="423" t="s">
        <v>108</v>
      </c>
      <c r="B98" s="422" t="s">
        <v>515</v>
      </c>
      <c r="C98" s="400"/>
      <c r="D98" s="406"/>
      <c r="E98" s="402"/>
      <c r="F98" s="402">
        <f t="shared" si="2"/>
        <v>0</v>
      </c>
    </row>
    <row r="99" spans="1:6" ht="15.5" hidden="1">
      <c r="A99" s="423"/>
      <c r="B99" s="422" t="s">
        <v>516</v>
      </c>
      <c r="C99" s="400"/>
      <c r="D99" s="406"/>
      <c r="E99" s="402"/>
      <c r="F99" s="402">
        <f t="shared" si="2"/>
        <v>0</v>
      </c>
    </row>
    <row r="100" spans="1:6" ht="15.5" hidden="1">
      <c r="A100" s="423" t="s">
        <v>109</v>
      </c>
      <c r="B100" s="424" t="s">
        <v>20</v>
      </c>
      <c r="C100" s="400" t="s">
        <v>10</v>
      </c>
      <c r="D100" s="406">
        <v>0</v>
      </c>
      <c r="E100" s="402"/>
      <c r="F100" s="402">
        <f t="shared" si="2"/>
        <v>0</v>
      </c>
    </row>
    <row r="101" spans="1:6" ht="15.5" hidden="1">
      <c r="A101" s="423" t="s">
        <v>110</v>
      </c>
      <c r="B101" s="424" t="s">
        <v>302</v>
      </c>
      <c r="C101" s="400" t="s">
        <v>23</v>
      </c>
      <c r="D101" s="406">
        <v>0</v>
      </c>
      <c r="E101" s="402"/>
      <c r="F101" s="402">
        <f t="shared" si="2"/>
        <v>0</v>
      </c>
    </row>
    <row r="102" spans="1:6" ht="15.5" hidden="1">
      <c r="A102" s="423" t="s">
        <v>111</v>
      </c>
      <c r="B102" s="424" t="s">
        <v>517</v>
      </c>
      <c r="C102" s="400" t="s">
        <v>4</v>
      </c>
      <c r="D102" s="406">
        <v>0</v>
      </c>
      <c r="E102" s="402"/>
      <c r="F102" s="402">
        <f t="shared" si="2"/>
        <v>0</v>
      </c>
    </row>
    <row r="103" spans="1:6" ht="15.5" hidden="1">
      <c r="A103" s="423" t="s">
        <v>112</v>
      </c>
      <c r="B103" s="424" t="s">
        <v>518</v>
      </c>
      <c r="C103" s="400"/>
      <c r="D103" s="406"/>
      <c r="E103" s="402"/>
      <c r="F103" s="402">
        <f t="shared" si="2"/>
        <v>0</v>
      </c>
    </row>
    <row r="104" spans="1:6" ht="15.5" hidden="1">
      <c r="A104" s="423" t="s">
        <v>401</v>
      </c>
      <c r="B104" s="424" t="s">
        <v>20</v>
      </c>
      <c r="C104" s="400" t="s">
        <v>10</v>
      </c>
      <c r="D104" s="406">
        <v>0</v>
      </c>
      <c r="E104" s="402"/>
      <c r="F104" s="402">
        <f t="shared" si="2"/>
        <v>0</v>
      </c>
    </row>
    <row r="105" spans="1:6" ht="15.5" hidden="1">
      <c r="A105" s="423" t="s">
        <v>113</v>
      </c>
      <c r="B105" s="424" t="s">
        <v>302</v>
      </c>
      <c r="C105" s="400" t="s">
        <v>23</v>
      </c>
      <c r="D105" s="406">
        <v>0</v>
      </c>
      <c r="E105" s="402"/>
      <c r="F105" s="402">
        <f t="shared" si="2"/>
        <v>0</v>
      </c>
    </row>
    <row r="106" spans="1:6" ht="15.5" hidden="1">
      <c r="A106" s="423" t="s">
        <v>284</v>
      </c>
      <c r="B106" s="424" t="s">
        <v>517</v>
      </c>
      <c r="C106" s="400" t="s">
        <v>4</v>
      </c>
      <c r="D106" s="406">
        <v>0</v>
      </c>
      <c r="E106" s="402"/>
      <c r="F106" s="402">
        <f t="shared" si="2"/>
        <v>0</v>
      </c>
    </row>
    <row r="107" spans="1:6" ht="15.5">
      <c r="A107" s="423" t="s">
        <v>519</v>
      </c>
      <c r="B107" s="422" t="s">
        <v>114</v>
      </c>
      <c r="C107" s="400"/>
      <c r="D107" s="406"/>
      <c r="E107" s="402"/>
      <c r="F107" s="402"/>
    </row>
    <row r="108" spans="1:6" ht="15.5">
      <c r="A108" s="423" t="s">
        <v>520</v>
      </c>
      <c r="B108" s="424" t="s">
        <v>521</v>
      </c>
      <c r="C108" s="400" t="s">
        <v>4</v>
      </c>
      <c r="D108" s="406">
        <f>7.95*1.1*3</f>
        <v>26.235000000000003</v>
      </c>
      <c r="E108" s="402"/>
      <c r="F108" s="402">
        <f>D108*E108</f>
        <v>0</v>
      </c>
    </row>
    <row r="109" spans="1:6" ht="15.5">
      <c r="A109" s="423" t="s">
        <v>520</v>
      </c>
      <c r="B109" s="424" t="s">
        <v>626</v>
      </c>
      <c r="C109" s="400" t="s">
        <v>9</v>
      </c>
      <c r="D109" s="406">
        <v>3</v>
      </c>
      <c r="E109" s="402"/>
      <c r="F109" s="402">
        <f>D109*E109</f>
        <v>0</v>
      </c>
    </row>
    <row r="110" spans="1:6" ht="15.5">
      <c r="A110" s="423" t="s">
        <v>520</v>
      </c>
      <c r="B110" s="424" t="s">
        <v>523</v>
      </c>
      <c r="C110" s="400" t="s">
        <v>7</v>
      </c>
      <c r="D110" s="406">
        <f>6*3</f>
        <v>18</v>
      </c>
      <c r="E110" s="402"/>
      <c r="F110" s="402">
        <f>D110*E110</f>
        <v>0</v>
      </c>
    </row>
    <row r="111" spans="1:6" ht="15.5">
      <c r="A111" s="423" t="s">
        <v>627</v>
      </c>
      <c r="B111" s="424" t="s">
        <v>628</v>
      </c>
      <c r="C111" s="400" t="s">
        <v>9</v>
      </c>
      <c r="D111" s="406">
        <v>0</v>
      </c>
      <c r="E111" s="402"/>
      <c r="F111" s="402">
        <f>D111*E111</f>
        <v>0</v>
      </c>
    </row>
    <row r="112" spans="1:6" ht="16" thickBot="1">
      <c r="A112" s="423" t="s">
        <v>524</v>
      </c>
      <c r="B112" s="424" t="s">
        <v>525</v>
      </c>
      <c r="C112" s="400" t="s">
        <v>9</v>
      </c>
      <c r="D112" s="406">
        <v>4</v>
      </c>
      <c r="E112" s="402"/>
      <c r="F112" s="402">
        <f>D112*E112</f>
        <v>0</v>
      </c>
    </row>
    <row r="113" spans="1:6" ht="17.399999999999999" customHeight="1" thickBot="1">
      <c r="A113" s="408"/>
      <c r="B113" s="417" t="s">
        <v>115</v>
      </c>
      <c r="C113" s="393"/>
      <c r="D113" s="394"/>
      <c r="E113" s="411"/>
      <c r="F113" s="411">
        <f>SUM(F19:F112)</f>
        <v>0</v>
      </c>
    </row>
    <row r="114" spans="1:6" ht="16" thickBot="1">
      <c r="A114" s="408"/>
      <c r="B114" s="409" t="s">
        <v>526</v>
      </c>
      <c r="C114" s="393"/>
      <c r="D114" s="394"/>
      <c r="E114" s="411"/>
      <c r="F114" s="411">
        <f>F16+F113</f>
        <v>0</v>
      </c>
    </row>
    <row r="115" spans="1:6" s="433" customFormat="1" ht="15.5">
      <c r="A115" s="440">
        <v>3</v>
      </c>
      <c r="B115" s="441" t="s">
        <v>527</v>
      </c>
      <c r="C115" s="442"/>
      <c r="D115" s="428"/>
      <c r="E115" s="407"/>
      <c r="F115" s="407"/>
    </row>
    <row r="116" spans="1:6" ht="15.5">
      <c r="A116" s="423" t="s">
        <v>116</v>
      </c>
      <c r="B116" s="424" t="s">
        <v>117</v>
      </c>
      <c r="C116" s="400"/>
      <c r="D116" s="400"/>
      <c r="E116" s="402"/>
      <c r="F116" s="402"/>
    </row>
    <row r="117" spans="1:6" ht="15.5">
      <c r="A117" s="404" t="s">
        <v>118</v>
      </c>
      <c r="B117" s="405" t="s">
        <v>528</v>
      </c>
      <c r="C117" s="400" t="s">
        <v>529</v>
      </c>
      <c r="D117" s="400">
        <v>1</v>
      </c>
      <c r="E117" s="443"/>
      <c r="F117" s="402">
        <f t="shared" ref="F117:F124" si="3">D117*E117</f>
        <v>0</v>
      </c>
    </row>
    <row r="118" spans="1:6" ht="15.5">
      <c r="A118" s="404" t="s">
        <v>119</v>
      </c>
      <c r="B118" s="405" t="s">
        <v>120</v>
      </c>
      <c r="C118" s="400" t="s">
        <v>10</v>
      </c>
      <c r="D118" s="400">
        <f>(12*31.25)/100</f>
        <v>3.75</v>
      </c>
      <c r="E118" s="443"/>
      <c r="F118" s="402">
        <f t="shared" si="3"/>
        <v>0</v>
      </c>
    </row>
    <row r="119" spans="1:6" ht="15.5" hidden="1">
      <c r="A119" s="404" t="s">
        <v>121</v>
      </c>
      <c r="B119" s="405" t="s">
        <v>530</v>
      </c>
      <c r="C119" s="400" t="s">
        <v>7</v>
      </c>
      <c r="D119" s="400"/>
      <c r="E119" s="444"/>
      <c r="F119" s="402">
        <f t="shared" si="3"/>
        <v>0</v>
      </c>
    </row>
    <row r="120" spans="1:6" ht="15.5" hidden="1">
      <c r="A120" s="404" t="s">
        <v>119</v>
      </c>
      <c r="B120" s="405" t="s">
        <v>531</v>
      </c>
      <c r="C120" s="400" t="s">
        <v>7</v>
      </c>
      <c r="D120" s="400"/>
      <c r="E120" s="444"/>
      <c r="F120" s="402">
        <f t="shared" si="3"/>
        <v>0</v>
      </c>
    </row>
    <row r="121" spans="1:6" ht="15.5" hidden="1">
      <c r="A121" s="404" t="s">
        <v>532</v>
      </c>
      <c r="B121" s="405" t="s">
        <v>533</v>
      </c>
      <c r="C121" s="400" t="s">
        <v>7</v>
      </c>
      <c r="D121" s="400"/>
      <c r="E121" s="444"/>
      <c r="F121" s="402">
        <f t="shared" si="3"/>
        <v>0</v>
      </c>
    </row>
    <row r="122" spans="1:6" ht="15.5" hidden="1">
      <c r="A122" s="404" t="s">
        <v>534</v>
      </c>
      <c r="B122" s="405" t="s">
        <v>535</v>
      </c>
      <c r="C122" s="400" t="s">
        <v>7</v>
      </c>
      <c r="D122" s="400"/>
      <c r="E122" s="444"/>
      <c r="F122" s="402">
        <f t="shared" si="3"/>
        <v>0</v>
      </c>
    </row>
    <row r="123" spans="1:6" ht="15.5" hidden="1">
      <c r="A123" s="404" t="s">
        <v>536</v>
      </c>
      <c r="B123" s="405" t="s">
        <v>537</v>
      </c>
      <c r="C123" s="400" t="s">
        <v>7</v>
      </c>
      <c r="D123" s="400"/>
      <c r="E123" s="444"/>
      <c r="F123" s="402">
        <f t="shared" si="3"/>
        <v>0</v>
      </c>
    </row>
    <row r="124" spans="1:6" ht="16" thickBot="1">
      <c r="A124" s="404" t="s">
        <v>538</v>
      </c>
      <c r="B124" s="405" t="s">
        <v>122</v>
      </c>
      <c r="C124" s="400" t="s">
        <v>9</v>
      </c>
      <c r="D124" s="400">
        <v>24</v>
      </c>
      <c r="E124" s="402"/>
      <c r="F124" s="402">
        <f t="shared" si="3"/>
        <v>0</v>
      </c>
    </row>
    <row r="125" spans="1:6" ht="16" thickBot="1">
      <c r="A125" s="445"/>
      <c r="B125" s="409" t="s">
        <v>540</v>
      </c>
      <c r="C125" s="446"/>
      <c r="D125" s="447"/>
      <c r="E125" s="448"/>
      <c r="F125" s="411">
        <f>SUM(F117:F124)</f>
        <v>0</v>
      </c>
    </row>
    <row r="126" spans="1:6" ht="15.5">
      <c r="A126" s="449">
        <v>4</v>
      </c>
      <c r="B126" s="429" t="s">
        <v>541</v>
      </c>
      <c r="C126" s="420"/>
      <c r="D126" s="406"/>
      <c r="E126" s="403"/>
      <c r="F126" s="402"/>
    </row>
    <row r="127" spans="1:6" ht="15.5">
      <c r="A127" s="423" t="s">
        <v>123</v>
      </c>
      <c r="B127" s="424" t="s">
        <v>43</v>
      </c>
      <c r="C127" s="400"/>
      <c r="D127" s="406"/>
      <c r="E127" s="402"/>
      <c r="F127" s="402"/>
    </row>
    <row r="128" spans="1:6" ht="15.5">
      <c r="A128" s="423" t="s">
        <v>124</v>
      </c>
      <c r="B128" s="429" t="s">
        <v>44</v>
      </c>
      <c r="C128" s="400"/>
      <c r="D128" s="406"/>
      <c r="E128" s="402"/>
      <c r="F128" s="402"/>
    </row>
    <row r="129" spans="1:6" ht="15.5">
      <c r="A129" s="423" t="s">
        <v>542</v>
      </c>
      <c r="B129" s="424" t="s">
        <v>706</v>
      </c>
      <c r="C129" s="400" t="s">
        <v>4</v>
      </c>
      <c r="D129" s="406">
        <f>12*32.25</f>
        <v>387</v>
      </c>
      <c r="E129" s="402"/>
      <c r="F129" s="402">
        <f>D129*E129</f>
        <v>0</v>
      </c>
    </row>
    <row r="130" spans="1:6" ht="15.5">
      <c r="A130" s="423" t="s">
        <v>125</v>
      </c>
      <c r="B130" s="429" t="s">
        <v>126</v>
      </c>
      <c r="C130" s="400"/>
      <c r="D130" s="406"/>
      <c r="E130" s="402"/>
      <c r="F130" s="402"/>
    </row>
    <row r="131" spans="1:6" ht="15.5">
      <c r="A131" s="423" t="s">
        <v>127</v>
      </c>
      <c r="B131" s="424" t="s">
        <v>707</v>
      </c>
      <c r="C131" s="400" t="s">
        <v>7</v>
      </c>
      <c r="D131" s="406">
        <v>32.25</v>
      </c>
      <c r="E131" s="402"/>
      <c r="F131" s="402">
        <f>D131*E131</f>
        <v>0</v>
      </c>
    </row>
    <row r="132" spans="1:6" ht="15.5">
      <c r="A132" s="423" t="s">
        <v>246</v>
      </c>
      <c r="B132" s="429" t="s">
        <v>130</v>
      </c>
      <c r="C132" s="414"/>
      <c r="D132" s="406"/>
      <c r="E132" s="431"/>
      <c r="F132" s="402"/>
    </row>
    <row r="133" spans="1:6" ht="16" thickBot="1">
      <c r="A133" s="434" t="s">
        <v>247</v>
      </c>
      <c r="B133" s="424" t="s">
        <v>629</v>
      </c>
      <c r="C133" s="436" t="s">
        <v>4</v>
      </c>
      <c r="D133" s="406">
        <f>(2*32.25*0.4)+(12*0.6)</f>
        <v>33</v>
      </c>
      <c r="E133" s="451"/>
      <c r="F133" s="402">
        <f>D133*E133</f>
        <v>0</v>
      </c>
    </row>
    <row r="134" spans="1:6" ht="16" thickBot="1">
      <c r="A134" s="445"/>
      <c r="B134" s="409" t="s">
        <v>545</v>
      </c>
      <c r="C134" s="393"/>
      <c r="D134" s="394"/>
      <c r="E134" s="411"/>
      <c r="F134" s="411">
        <f>SUM(F129:F133)</f>
        <v>0</v>
      </c>
    </row>
    <row r="135" spans="1:6" ht="15.5">
      <c r="A135" s="412">
        <v>5</v>
      </c>
      <c r="B135" s="453" t="s">
        <v>546</v>
      </c>
      <c r="C135" s="400"/>
      <c r="D135" s="406"/>
      <c r="E135" s="402"/>
      <c r="F135" s="402"/>
    </row>
    <row r="136" spans="1:6" ht="15.5">
      <c r="A136" s="405" t="s">
        <v>49</v>
      </c>
      <c r="B136" s="453" t="s">
        <v>51</v>
      </c>
      <c r="C136" s="400"/>
      <c r="D136" s="406"/>
      <c r="E136" s="402"/>
      <c r="F136" s="402"/>
    </row>
    <row r="137" spans="1:6" ht="16" thickBot="1">
      <c r="A137" s="424" t="s">
        <v>50</v>
      </c>
      <c r="B137" s="454" t="s">
        <v>547</v>
      </c>
      <c r="C137" s="400" t="s">
        <v>131</v>
      </c>
      <c r="D137" s="406">
        <v>1</v>
      </c>
      <c r="E137" s="402"/>
      <c r="F137" s="402">
        <f>D137*E137</f>
        <v>0</v>
      </c>
    </row>
    <row r="138" spans="1:6" ht="16" thickBot="1">
      <c r="A138" s="445"/>
      <c r="B138" s="494" t="s">
        <v>548</v>
      </c>
      <c r="C138" s="393"/>
      <c r="D138" s="394"/>
      <c r="E138" s="411"/>
      <c r="F138" s="411">
        <f>F137</f>
        <v>0</v>
      </c>
    </row>
    <row r="139" spans="1:6" ht="15.5">
      <c r="A139" s="404">
        <v>6</v>
      </c>
      <c r="B139" s="455" t="s">
        <v>549</v>
      </c>
      <c r="C139" s="456"/>
      <c r="D139" s="415"/>
      <c r="E139" s="416"/>
      <c r="F139" s="402"/>
    </row>
    <row r="140" spans="1:6" ht="15.5" hidden="1">
      <c r="A140" s="457" t="s">
        <v>328</v>
      </c>
      <c r="B140" s="453" t="s">
        <v>550</v>
      </c>
      <c r="C140" s="414"/>
      <c r="D140" s="415"/>
      <c r="E140" s="431"/>
      <c r="F140" s="402"/>
    </row>
    <row r="141" spans="1:6" ht="15.5" hidden="1">
      <c r="A141" s="457" t="s">
        <v>329</v>
      </c>
      <c r="B141" s="450" t="s">
        <v>630</v>
      </c>
      <c r="C141" s="400" t="s">
        <v>9</v>
      </c>
      <c r="D141" s="406">
        <v>0</v>
      </c>
      <c r="E141" s="400"/>
      <c r="F141" s="402">
        <f>D141*E141</f>
        <v>0</v>
      </c>
    </row>
    <row r="142" spans="1:6" ht="15.5" hidden="1">
      <c r="A142" s="457" t="s">
        <v>402</v>
      </c>
      <c r="B142" s="405" t="s">
        <v>552</v>
      </c>
      <c r="C142" s="400"/>
      <c r="D142" s="406"/>
      <c r="E142" s="402"/>
      <c r="F142" s="402">
        <f>D142*E142</f>
        <v>0</v>
      </c>
    </row>
    <row r="143" spans="1:6" ht="15.5" hidden="1">
      <c r="A143" s="457" t="s">
        <v>553</v>
      </c>
      <c r="B143" s="405" t="s">
        <v>554</v>
      </c>
      <c r="C143" s="400" t="s">
        <v>9</v>
      </c>
      <c r="D143" s="406">
        <v>0</v>
      </c>
      <c r="E143" s="402"/>
      <c r="F143" s="402">
        <f>D143*E143</f>
        <v>0</v>
      </c>
    </row>
    <row r="144" spans="1:6" ht="15.5" hidden="1">
      <c r="A144" s="457" t="s">
        <v>555</v>
      </c>
      <c r="B144" s="405" t="s">
        <v>259</v>
      </c>
      <c r="C144" s="400" t="s">
        <v>9</v>
      </c>
      <c r="D144" s="406">
        <v>0</v>
      </c>
      <c r="E144" s="402"/>
      <c r="F144" s="402">
        <f>D144*E144</f>
        <v>0</v>
      </c>
    </row>
    <row r="145" spans="1:6" ht="15.5">
      <c r="A145" s="457" t="s">
        <v>403</v>
      </c>
      <c r="B145" s="453" t="s">
        <v>556</v>
      </c>
      <c r="C145" s="414"/>
      <c r="D145" s="415"/>
      <c r="E145" s="431"/>
      <c r="F145" s="402"/>
    </row>
    <row r="146" spans="1:6" s="4" customFormat="1" ht="15.5">
      <c r="A146" s="15" t="s">
        <v>598</v>
      </c>
      <c r="B146" s="47" t="s">
        <v>424</v>
      </c>
      <c r="C146" s="12"/>
      <c r="D146" s="17"/>
      <c r="E146" s="201"/>
      <c r="F146" s="241"/>
    </row>
    <row r="147" spans="1:6" s="367" customFormat="1" ht="15.5">
      <c r="A147" s="15" t="s">
        <v>599</v>
      </c>
      <c r="B147" s="48" t="s">
        <v>425</v>
      </c>
      <c r="C147" s="363" t="s">
        <v>9</v>
      </c>
      <c r="D147" s="364">
        <v>2</v>
      </c>
      <c r="E147" s="365"/>
      <c r="F147" s="366">
        <f>D147*E147</f>
        <v>0</v>
      </c>
    </row>
    <row r="148" spans="1:6" s="367" customFormat="1" ht="15.5">
      <c r="A148" s="15" t="s">
        <v>599</v>
      </c>
      <c r="B148" s="368" t="s">
        <v>426</v>
      </c>
      <c r="C148" s="363" t="s">
        <v>7</v>
      </c>
      <c r="D148" s="364">
        <f>1.1*8</f>
        <v>8.8000000000000007</v>
      </c>
      <c r="E148" s="365"/>
      <c r="F148" s="366">
        <f>D148*E148</f>
        <v>0</v>
      </c>
    </row>
    <row r="149" spans="1:6" s="367" customFormat="1" ht="15.5">
      <c r="A149" s="15" t="s">
        <v>601</v>
      </c>
      <c r="B149" s="362" t="s">
        <v>427</v>
      </c>
      <c r="C149" s="363"/>
      <c r="D149" s="364"/>
      <c r="E149" s="365"/>
      <c r="F149" s="366"/>
    </row>
    <row r="150" spans="1:6" s="367" customFormat="1" ht="16" thickBot="1">
      <c r="A150" s="15" t="s">
        <v>602</v>
      </c>
      <c r="B150" s="368" t="s">
        <v>428</v>
      </c>
      <c r="C150" s="363" t="s">
        <v>4</v>
      </c>
      <c r="D150" s="364">
        <f>1.5*1.1*2</f>
        <v>3.3000000000000003</v>
      </c>
      <c r="E150" s="365"/>
      <c r="F150" s="366">
        <f>D150*E150</f>
        <v>0</v>
      </c>
    </row>
    <row r="151" spans="1:6" ht="16" thickBot="1">
      <c r="A151" s="458"/>
      <c r="B151" s="495" t="s">
        <v>562</v>
      </c>
      <c r="C151" s="393"/>
      <c r="D151" s="394"/>
      <c r="E151" s="411"/>
      <c r="F151" s="411">
        <f>SUM(F141:F150)</f>
        <v>0</v>
      </c>
    </row>
    <row r="152" spans="1:6" ht="15.5">
      <c r="A152" s="449">
        <v>7</v>
      </c>
      <c r="B152" s="429" t="s">
        <v>563</v>
      </c>
      <c r="C152" s="459"/>
      <c r="D152" s="460"/>
      <c r="E152" s="403"/>
      <c r="F152" s="402"/>
    </row>
    <row r="153" spans="1:6" ht="15.5" hidden="1">
      <c r="A153" s="450" t="s">
        <v>132</v>
      </c>
      <c r="B153" s="424" t="s">
        <v>564</v>
      </c>
      <c r="C153" s="400" t="s">
        <v>7</v>
      </c>
      <c r="D153" s="406">
        <v>0</v>
      </c>
      <c r="E153" s="402"/>
      <c r="F153" s="402">
        <f>D153*E153</f>
        <v>0</v>
      </c>
    </row>
    <row r="154" spans="1:6" ht="15.5" hidden="1">
      <c r="A154" s="450" t="s">
        <v>133</v>
      </c>
      <c r="B154" s="424" t="s">
        <v>565</v>
      </c>
      <c r="C154" s="400" t="s">
        <v>7</v>
      </c>
      <c r="D154" s="406">
        <v>0</v>
      </c>
      <c r="E154" s="402"/>
      <c r="F154" s="402">
        <f>D154*E154</f>
        <v>0</v>
      </c>
    </row>
    <row r="155" spans="1:6" ht="15.5">
      <c r="A155" s="450" t="s">
        <v>408</v>
      </c>
      <c r="B155" s="424" t="s">
        <v>566</v>
      </c>
      <c r="C155" s="400"/>
      <c r="D155" s="406"/>
      <c r="E155" s="402"/>
      <c r="F155" s="402"/>
    </row>
    <row r="156" spans="1:6" ht="15.5">
      <c r="A156" s="450"/>
      <c r="B156" s="424" t="s">
        <v>567</v>
      </c>
      <c r="C156" s="400" t="s">
        <v>4</v>
      </c>
      <c r="D156" s="406">
        <f>32.25*11.45</f>
        <v>369.26249999999999</v>
      </c>
      <c r="E156" s="402"/>
      <c r="F156" s="402">
        <f>D156*E156</f>
        <v>0</v>
      </c>
    </row>
    <row r="157" spans="1:6" ht="16" thickBot="1">
      <c r="A157" s="450"/>
      <c r="B157" s="424" t="s">
        <v>631</v>
      </c>
      <c r="C157" s="400" t="s">
        <v>4</v>
      </c>
      <c r="D157" s="406">
        <f>D156</f>
        <v>369.26249999999999</v>
      </c>
      <c r="E157" s="402"/>
      <c r="F157" s="402">
        <f>D157*E157</f>
        <v>0</v>
      </c>
    </row>
    <row r="158" spans="1:6" ht="16" thickBot="1">
      <c r="A158" s="445"/>
      <c r="B158" s="494" t="s">
        <v>569</v>
      </c>
      <c r="C158" s="393"/>
      <c r="D158" s="394"/>
      <c r="E158" s="448"/>
      <c r="F158" s="411">
        <f>SUM(F153:F157)</f>
        <v>0</v>
      </c>
    </row>
    <row r="159" spans="1:6" ht="21.65" customHeight="1">
      <c r="A159" s="412">
        <v>8</v>
      </c>
      <c r="B159" s="461" t="s">
        <v>632</v>
      </c>
      <c r="C159" s="456"/>
      <c r="D159" s="415"/>
      <c r="E159" s="416"/>
      <c r="F159" s="402"/>
    </row>
    <row r="160" spans="1:6" ht="15.5">
      <c r="A160" s="404" t="s">
        <v>335</v>
      </c>
      <c r="B160" s="461" t="s">
        <v>134</v>
      </c>
      <c r="C160" s="400"/>
      <c r="D160" s="406"/>
      <c r="E160" s="402"/>
      <c r="F160" s="402"/>
    </row>
    <row r="161" spans="1:7" ht="15.5">
      <c r="A161" s="404" t="s">
        <v>337</v>
      </c>
      <c r="B161" s="405" t="s">
        <v>646</v>
      </c>
      <c r="C161" s="400" t="s">
        <v>529</v>
      </c>
      <c r="D161" s="406">
        <v>1</v>
      </c>
      <c r="E161" s="402"/>
      <c r="F161" s="402">
        <f>D161*E161</f>
        <v>0</v>
      </c>
    </row>
    <row r="162" spans="1:7" ht="15.5">
      <c r="A162" s="404" t="s">
        <v>337</v>
      </c>
      <c r="B162" s="405" t="s">
        <v>633</v>
      </c>
      <c r="C162" s="400" t="s">
        <v>9</v>
      </c>
      <c r="D162" s="406">
        <v>3</v>
      </c>
      <c r="E162" s="402"/>
      <c r="F162" s="402">
        <f>D162*E162</f>
        <v>0</v>
      </c>
    </row>
    <row r="163" spans="1:7" ht="15.5">
      <c r="A163" s="404" t="s">
        <v>572</v>
      </c>
      <c r="B163" s="405" t="s">
        <v>634</v>
      </c>
      <c r="C163" s="400" t="s">
        <v>9</v>
      </c>
      <c r="D163" s="406">
        <v>2</v>
      </c>
      <c r="E163" s="402"/>
      <c r="F163" s="402">
        <f>D163*E163</f>
        <v>0</v>
      </c>
    </row>
    <row r="164" spans="1:7" ht="15.5">
      <c r="A164" s="404" t="s">
        <v>574</v>
      </c>
      <c r="B164" s="461" t="s">
        <v>135</v>
      </c>
      <c r="C164" s="400"/>
      <c r="D164" s="406"/>
      <c r="E164" s="402"/>
      <c r="F164" s="402"/>
    </row>
    <row r="165" spans="1:7" ht="15.5">
      <c r="A165" s="404" t="s">
        <v>575</v>
      </c>
      <c r="B165" s="405" t="s">
        <v>576</v>
      </c>
      <c r="C165" s="400" t="s">
        <v>9</v>
      </c>
      <c r="D165" s="400">
        <v>1</v>
      </c>
      <c r="E165" s="402"/>
      <c r="F165" s="402">
        <f>D165*E165</f>
        <v>0</v>
      </c>
    </row>
    <row r="166" spans="1:7" ht="15.5">
      <c r="A166" s="404" t="s">
        <v>577</v>
      </c>
      <c r="B166" s="405" t="s">
        <v>370</v>
      </c>
      <c r="C166" s="400" t="s">
        <v>4</v>
      </c>
      <c r="D166" s="400">
        <v>3</v>
      </c>
      <c r="E166" s="402"/>
      <c r="F166" s="402">
        <f>D166*E166</f>
        <v>0</v>
      </c>
    </row>
    <row r="167" spans="1:7" ht="15.5">
      <c r="A167" s="405" t="s">
        <v>578</v>
      </c>
      <c r="B167" s="399" t="s">
        <v>635</v>
      </c>
      <c r="C167" s="400"/>
      <c r="D167" s="400"/>
      <c r="E167" s="402"/>
      <c r="F167" s="402"/>
    </row>
    <row r="168" spans="1:7" ht="15.5">
      <c r="A168" s="405" t="s">
        <v>580</v>
      </c>
      <c r="B168" s="405" t="s">
        <v>581</v>
      </c>
      <c r="C168" s="400"/>
      <c r="D168" s="400"/>
      <c r="E168" s="402"/>
      <c r="F168" s="402"/>
    </row>
    <row r="169" spans="1:7" ht="15.5">
      <c r="A169" s="405" t="s">
        <v>582</v>
      </c>
      <c r="B169" s="405" t="s">
        <v>636</v>
      </c>
      <c r="C169" s="400" t="s">
        <v>9</v>
      </c>
      <c r="D169" s="400">
        <v>2</v>
      </c>
      <c r="E169" s="402"/>
      <c r="F169" s="402">
        <f>D169*E169</f>
        <v>0</v>
      </c>
    </row>
    <row r="170" spans="1:7" ht="15.5">
      <c r="A170" s="405" t="s">
        <v>584</v>
      </c>
      <c r="B170" s="399" t="s">
        <v>585</v>
      </c>
      <c r="C170" s="400"/>
      <c r="D170" s="400"/>
      <c r="E170" s="402"/>
      <c r="F170" s="402"/>
    </row>
    <row r="171" spans="1:7" ht="15.5">
      <c r="A171" s="405" t="s">
        <v>586</v>
      </c>
      <c r="B171" s="405" t="s">
        <v>587</v>
      </c>
      <c r="C171" s="400" t="s">
        <v>9</v>
      </c>
      <c r="D171" s="400">
        <v>0</v>
      </c>
      <c r="E171" s="402"/>
      <c r="F171" s="402">
        <f>D171*E171</f>
        <v>0</v>
      </c>
    </row>
    <row r="172" spans="1:7" ht="16" thickBot="1">
      <c r="A172" s="405" t="s">
        <v>588</v>
      </c>
      <c r="B172" s="405" t="s">
        <v>589</v>
      </c>
      <c r="C172" s="400" t="s">
        <v>9</v>
      </c>
      <c r="D172" s="400">
        <v>0</v>
      </c>
      <c r="E172" s="402"/>
      <c r="F172" s="402">
        <f>D172*E172</f>
        <v>0</v>
      </c>
    </row>
    <row r="173" spans="1:7" ht="16" thickBot="1">
      <c r="A173" s="445"/>
      <c r="B173" s="409" t="s">
        <v>590</v>
      </c>
      <c r="C173" s="446"/>
      <c r="D173" s="447"/>
      <c r="E173" s="448"/>
      <c r="F173" s="411">
        <f>SUM(F163:F172)</f>
        <v>0</v>
      </c>
    </row>
    <row r="174" spans="1:7" ht="15.5" hidden="1">
      <c r="A174" s="412">
        <v>9</v>
      </c>
      <c r="B174" s="399" t="s">
        <v>591</v>
      </c>
      <c r="C174" s="420"/>
      <c r="D174" s="401"/>
      <c r="E174" s="403"/>
      <c r="F174" s="402"/>
    </row>
    <row r="175" spans="1:7" ht="15.5" hidden="1">
      <c r="A175" s="412">
        <v>10</v>
      </c>
      <c r="B175" s="399" t="s">
        <v>592</v>
      </c>
      <c r="C175" s="400"/>
      <c r="D175" s="406"/>
      <c r="E175" s="402"/>
      <c r="F175" s="402"/>
    </row>
    <row r="176" spans="1:7" s="385" customFormat="1" ht="15.5" hidden="1">
      <c r="A176" s="404" t="s">
        <v>136</v>
      </c>
      <c r="B176" s="405" t="s">
        <v>593</v>
      </c>
      <c r="C176" s="400"/>
      <c r="D176" s="406"/>
      <c r="E176" s="402"/>
      <c r="F176" s="402"/>
      <c r="G176" s="382"/>
    </row>
    <row r="177" spans="1:7" ht="15.5" hidden="1">
      <c r="A177" s="404" t="s">
        <v>594</v>
      </c>
      <c r="B177" s="462" t="s">
        <v>637</v>
      </c>
      <c r="C177" s="400" t="s">
        <v>529</v>
      </c>
      <c r="D177" s="406">
        <v>0</v>
      </c>
      <c r="E177" s="402"/>
      <c r="F177" s="402">
        <f>D177*E177</f>
        <v>0</v>
      </c>
    </row>
    <row r="178" spans="1:7" s="385" customFormat="1" ht="15.5" hidden="1">
      <c r="A178" s="404" t="s">
        <v>638</v>
      </c>
      <c r="B178" s="405" t="s">
        <v>639</v>
      </c>
      <c r="C178" s="400" t="s">
        <v>9</v>
      </c>
      <c r="D178" s="406">
        <v>0</v>
      </c>
      <c r="E178" s="402"/>
      <c r="F178" s="402">
        <f>D178*E178</f>
        <v>0</v>
      </c>
      <c r="G178" s="382"/>
    </row>
    <row r="179" spans="1:7" s="385" customFormat="1" ht="15.5" hidden="1">
      <c r="A179" s="404" t="s">
        <v>640</v>
      </c>
      <c r="B179" s="405" t="s">
        <v>641</v>
      </c>
      <c r="C179" s="400" t="s">
        <v>9</v>
      </c>
      <c r="D179" s="406">
        <v>0</v>
      </c>
      <c r="E179" s="402"/>
      <c r="F179" s="402">
        <f>D179*E179</f>
        <v>0</v>
      </c>
      <c r="G179" s="382"/>
    </row>
    <row r="180" spans="1:7" s="385" customFormat="1" ht="16" hidden="1" thickBot="1">
      <c r="A180" s="404" t="s">
        <v>642</v>
      </c>
      <c r="B180" s="405" t="s">
        <v>643</v>
      </c>
      <c r="C180" s="400" t="s">
        <v>9</v>
      </c>
      <c r="D180" s="406">
        <v>0</v>
      </c>
      <c r="E180" s="402"/>
      <c r="F180" s="402">
        <f>D180*E180</f>
        <v>0</v>
      </c>
      <c r="G180" s="382"/>
    </row>
    <row r="181" spans="1:7" ht="16" hidden="1" thickBot="1">
      <c r="A181" s="408"/>
      <c r="B181" s="409" t="s">
        <v>596</v>
      </c>
      <c r="C181" s="446"/>
      <c r="D181" s="447"/>
      <c r="E181" s="448"/>
      <c r="F181" s="411">
        <f>SUM(F177:F180)</f>
        <v>0</v>
      </c>
    </row>
    <row r="182" spans="1:7" ht="15.5">
      <c r="A182" s="405"/>
      <c r="B182" s="399"/>
      <c r="C182" s="400"/>
      <c r="D182" s="406"/>
      <c r="E182" s="402"/>
      <c r="F182" s="431"/>
    </row>
    <row r="183" spans="1:7" ht="15.5">
      <c r="A183" s="412">
        <v>11</v>
      </c>
      <c r="B183" s="399" t="s">
        <v>597</v>
      </c>
      <c r="C183" s="400"/>
      <c r="D183" s="415"/>
      <c r="E183" s="431"/>
      <c r="F183" s="402"/>
    </row>
    <row r="184" spans="1:7" s="385" customFormat="1" ht="15.5">
      <c r="A184" s="404" t="s">
        <v>598</v>
      </c>
      <c r="B184" s="461" t="s">
        <v>137</v>
      </c>
      <c r="C184" s="463"/>
      <c r="D184" s="460"/>
      <c r="E184" s="463"/>
      <c r="F184" s="402"/>
      <c r="G184" s="382"/>
    </row>
    <row r="185" spans="1:7" s="385" customFormat="1" ht="15.5">
      <c r="A185" s="404" t="s">
        <v>599</v>
      </c>
      <c r="B185" s="462" t="s">
        <v>59</v>
      </c>
      <c r="C185" s="400" t="s">
        <v>4</v>
      </c>
      <c r="D185" s="406">
        <f>((31.25+8.3)*2*3.5)</f>
        <v>276.84999999999997</v>
      </c>
      <c r="E185" s="402"/>
      <c r="F185" s="402">
        <f>D185*E185</f>
        <v>0</v>
      </c>
      <c r="G185" s="382"/>
    </row>
    <row r="186" spans="1:7" s="385" customFormat="1" ht="31">
      <c r="A186" s="404" t="s">
        <v>600</v>
      </c>
      <c r="B186" s="462" t="s">
        <v>138</v>
      </c>
      <c r="C186" s="400" t="s">
        <v>4</v>
      </c>
      <c r="D186" s="406">
        <f>1.5*31.25*2+8*2*1.5*2</f>
        <v>141.75</v>
      </c>
      <c r="E186" s="402"/>
      <c r="F186" s="402">
        <f>D186*E186</f>
        <v>0</v>
      </c>
      <c r="G186" s="382"/>
    </row>
    <row r="187" spans="1:7" ht="15.5">
      <c r="A187" s="404" t="s">
        <v>601</v>
      </c>
      <c r="B187" s="461" t="s">
        <v>139</v>
      </c>
      <c r="C187" s="400"/>
      <c r="D187" s="406"/>
      <c r="E187" s="402"/>
      <c r="F187" s="402"/>
    </row>
    <row r="188" spans="1:7" ht="15.5">
      <c r="A188" s="404" t="s">
        <v>602</v>
      </c>
      <c r="B188" s="462" t="s">
        <v>60</v>
      </c>
      <c r="C188" s="400" t="s">
        <v>4</v>
      </c>
      <c r="D188" s="406">
        <f>(31.25*2+8*8)*3+3.3*3*2</f>
        <v>399.3</v>
      </c>
      <c r="E188" s="402"/>
      <c r="F188" s="402">
        <f>D188*E188</f>
        <v>0</v>
      </c>
    </row>
    <row r="189" spans="1:7" ht="15.5">
      <c r="A189" s="404" t="s">
        <v>603</v>
      </c>
      <c r="B189" s="462" t="s">
        <v>604</v>
      </c>
      <c r="C189" s="400" t="s">
        <v>4</v>
      </c>
      <c r="D189" s="406">
        <f>D157</f>
        <v>369.26249999999999</v>
      </c>
      <c r="E189" s="402"/>
      <c r="F189" s="402">
        <f>D189*E189</f>
        <v>0</v>
      </c>
    </row>
    <row r="190" spans="1:7" ht="15.5">
      <c r="A190" s="404"/>
      <c r="B190" s="462"/>
      <c r="C190" s="400"/>
      <c r="D190" s="406"/>
      <c r="E190" s="402"/>
      <c r="F190" s="402"/>
    </row>
    <row r="191" spans="1:7" ht="15.5" hidden="1">
      <c r="A191" s="404" t="s">
        <v>605</v>
      </c>
      <c r="B191" s="461" t="s">
        <v>606</v>
      </c>
      <c r="C191" s="400"/>
      <c r="D191" s="400"/>
      <c r="E191" s="402"/>
      <c r="F191" s="402"/>
    </row>
    <row r="192" spans="1:7" ht="31" hidden="1">
      <c r="A192" s="404" t="s">
        <v>607</v>
      </c>
      <c r="B192" s="462" t="s">
        <v>608</v>
      </c>
      <c r="C192" s="400" t="s">
        <v>4</v>
      </c>
      <c r="D192" s="400">
        <v>0</v>
      </c>
      <c r="E192" s="402"/>
      <c r="F192" s="402">
        <f>D192*E192</f>
        <v>0</v>
      </c>
    </row>
    <row r="193" spans="1:7" ht="15.5" hidden="1">
      <c r="A193" s="404"/>
      <c r="B193" s="462"/>
      <c r="C193" s="400"/>
      <c r="D193" s="406"/>
      <c r="E193" s="402"/>
      <c r="F193" s="402"/>
    </row>
    <row r="194" spans="1:7" ht="15.5">
      <c r="A194" s="405" t="s">
        <v>609</v>
      </c>
      <c r="B194" s="461" t="s">
        <v>140</v>
      </c>
      <c r="C194" s="400"/>
      <c r="D194" s="406"/>
      <c r="E194" s="431"/>
      <c r="F194" s="402"/>
    </row>
    <row r="195" spans="1:7" ht="31">
      <c r="A195" s="405" t="s">
        <v>610</v>
      </c>
      <c r="B195" s="462" t="s">
        <v>141</v>
      </c>
      <c r="C195" s="400" t="s">
        <v>4</v>
      </c>
      <c r="D195" s="406">
        <f>3*1.65*2.2*2+0.9*2.2*2</f>
        <v>25.74</v>
      </c>
      <c r="E195" s="402"/>
      <c r="F195" s="402">
        <f>D195*E195</f>
        <v>0</v>
      </c>
    </row>
    <row r="196" spans="1:7" ht="15.5">
      <c r="A196" s="405" t="s">
        <v>611</v>
      </c>
      <c r="B196" s="461" t="s">
        <v>612</v>
      </c>
      <c r="C196" s="400"/>
      <c r="D196" s="406"/>
      <c r="E196" s="402"/>
      <c r="F196" s="402"/>
    </row>
    <row r="197" spans="1:7" ht="15.5">
      <c r="A197" s="405" t="s">
        <v>613</v>
      </c>
      <c r="B197" s="462" t="s">
        <v>644</v>
      </c>
      <c r="C197" s="400" t="s">
        <v>4</v>
      </c>
      <c r="D197" s="406">
        <f>3*6*1.4+4*3*1.4*4</f>
        <v>92.399999999999991</v>
      </c>
      <c r="E197" s="402"/>
      <c r="F197" s="402">
        <f>D197*E197</f>
        <v>0</v>
      </c>
    </row>
    <row r="198" spans="1:7" ht="16" thickBot="1">
      <c r="A198" s="405" t="s">
        <v>613</v>
      </c>
      <c r="B198" s="462" t="s">
        <v>142</v>
      </c>
      <c r="C198" s="400" t="s">
        <v>4</v>
      </c>
      <c r="D198" s="406">
        <f>3*6*1.4+4*3*1.4*4</f>
        <v>92.399999999999991</v>
      </c>
      <c r="E198" s="402"/>
      <c r="F198" s="402">
        <f>D198*E198</f>
        <v>0</v>
      </c>
    </row>
    <row r="199" spans="1:7" ht="16" thickBot="1">
      <c r="A199" s="408"/>
      <c r="B199" s="452" t="s">
        <v>615</v>
      </c>
      <c r="C199" s="446"/>
      <c r="D199" s="394"/>
      <c r="E199" s="393"/>
      <c r="F199" s="464">
        <f>SUM(F185:F198)</f>
        <v>0</v>
      </c>
    </row>
    <row r="200" spans="1:7" ht="16" thickBot="1">
      <c r="A200" s="424"/>
      <c r="B200" s="429"/>
      <c r="C200" s="466"/>
      <c r="D200" s="467"/>
      <c r="E200" s="386"/>
      <c r="F200" s="468"/>
    </row>
    <row r="201" spans="1:7" s="10" customFormat="1" ht="25" customHeight="1" thickBot="1">
      <c r="A201" s="496"/>
      <c r="B201" s="550" t="s">
        <v>650</v>
      </c>
      <c r="C201" s="550"/>
      <c r="D201" s="550"/>
      <c r="E201" s="500"/>
      <c r="F201" s="501">
        <f>F114+F125+F134+F138+F151+F158+F173+F199</f>
        <v>0</v>
      </c>
    </row>
    <row r="202" spans="1:7" ht="16" thickBot="1">
      <c r="A202" s="424"/>
      <c r="B202" s="429"/>
      <c r="C202" s="466"/>
      <c r="D202" s="467"/>
      <c r="E202" s="386"/>
      <c r="F202" s="468"/>
    </row>
    <row r="203" spans="1:7" ht="23" customHeight="1" thickBot="1">
      <c r="A203" s="433"/>
      <c r="B203" s="552" t="s">
        <v>651</v>
      </c>
      <c r="C203" s="553"/>
      <c r="D203" s="553"/>
      <c r="E203" s="554"/>
      <c r="F203" s="386"/>
    </row>
    <row r="204" spans="1:7" ht="13.25" customHeight="1" thickBot="1">
      <c r="B204" s="387"/>
      <c r="C204" s="388"/>
      <c r="D204" s="389"/>
      <c r="E204" s="390"/>
      <c r="F204" s="390"/>
    </row>
    <row r="205" spans="1:7" s="397" customFormat="1" ht="33" customHeight="1" thickBot="1">
      <c r="A205" s="469" t="s">
        <v>438</v>
      </c>
      <c r="B205" s="470" t="s">
        <v>70</v>
      </c>
      <c r="C205" s="471" t="s">
        <v>75</v>
      </c>
      <c r="D205" s="472" t="s">
        <v>76</v>
      </c>
      <c r="E205" s="473" t="s">
        <v>77</v>
      </c>
      <c r="F205" s="471" t="s">
        <v>78</v>
      </c>
      <c r="G205" s="396"/>
    </row>
    <row r="206" spans="1:7" ht="16" hidden="1" thickBot="1">
      <c r="A206" s="398">
        <v>1</v>
      </c>
      <c r="B206" s="399" t="s">
        <v>439</v>
      </c>
      <c r="C206" s="400"/>
      <c r="D206" s="401"/>
      <c r="E206" s="402"/>
      <c r="F206" s="403"/>
    </row>
    <row r="207" spans="1:7" ht="16" hidden="1" thickBot="1">
      <c r="A207" s="412"/>
      <c r="B207" s="399" t="s">
        <v>616</v>
      </c>
      <c r="C207" s="400"/>
      <c r="D207" s="465"/>
      <c r="E207" s="402"/>
      <c r="F207" s="402"/>
    </row>
    <row r="208" spans="1:7" ht="16" hidden="1" thickBot="1">
      <c r="A208" s="404" t="s">
        <v>5</v>
      </c>
      <c r="B208" s="405" t="s">
        <v>440</v>
      </c>
      <c r="C208" s="400" t="s">
        <v>441</v>
      </c>
      <c r="D208" s="406">
        <v>0</v>
      </c>
      <c r="E208" s="407"/>
      <c r="F208" s="402">
        <f>D208*E208</f>
        <v>0</v>
      </c>
    </row>
    <row r="209" spans="1:6" ht="16" hidden="1" thickBot="1">
      <c r="A209" s="408"/>
      <c r="B209" s="409" t="s">
        <v>442</v>
      </c>
      <c r="C209" s="393"/>
      <c r="D209" s="394"/>
      <c r="E209" s="410"/>
      <c r="F209" s="411">
        <f>F208</f>
        <v>0</v>
      </c>
    </row>
    <row r="210" spans="1:6" ht="15.5">
      <c r="A210" s="412">
        <v>2</v>
      </c>
      <c r="B210" s="413" t="s">
        <v>443</v>
      </c>
      <c r="C210" s="414"/>
      <c r="D210" s="415"/>
      <c r="E210" s="416"/>
      <c r="F210" s="402"/>
    </row>
    <row r="211" spans="1:6" ht="15.5" hidden="1">
      <c r="A211" s="404" t="s">
        <v>79</v>
      </c>
      <c r="B211" s="405" t="s">
        <v>80</v>
      </c>
      <c r="C211" s="400"/>
      <c r="D211" s="406"/>
      <c r="E211" s="402"/>
      <c r="F211" s="402"/>
    </row>
    <row r="212" spans="1:6" ht="15.5" hidden="1">
      <c r="A212" s="404" t="s">
        <v>81</v>
      </c>
      <c r="B212" s="405" t="s">
        <v>444</v>
      </c>
      <c r="C212" s="400" t="s">
        <v>10</v>
      </c>
      <c r="D212" s="406">
        <v>0</v>
      </c>
      <c r="E212" s="402"/>
      <c r="F212" s="402">
        <f>D212*E212</f>
        <v>0</v>
      </c>
    </row>
    <row r="213" spans="1:6" ht="17.399999999999999" hidden="1" customHeight="1">
      <c r="A213" s="404" t="s">
        <v>82</v>
      </c>
      <c r="B213" s="405" t="s">
        <v>83</v>
      </c>
      <c r="C213" s="400" t="s">
        <v>10</v>
      </c>
      <c r="D213" s="406">
        <v>0</v>
      </c>
      <c r="E213" s="402"/>
      <c r="F213" s="402">
        <f>D213*E213</f>
        <v>0</v>
      </c>
    </row>
    <row r="214" spans="1:6" ht="17.399999999999999" hidden="1" customHeight="1">
      <c r="A214" s="404" t="s">
        <v>84</v>
      </c>
      <c r="B214" s="405" t="s">
        <v>85</v>
      </c>
      <c r="C214" s="400" t="s">
        <v>10</v>
      </c>
      <c r="D214" s="406">
        <v>0</v>
      </c>
      <c r="E214" s="402"/>
      <c r="F214" s="402">
        <f>D214*E214</f>
        <v>0</v>
      </c>
    </row>
    <row r="215" spans="1:6" ht="17.399999999999999" hidden="1" customHeight="1">
      <c r="A215" s="408"/>
      <c r="B215" s="417" t="s">
        <v>445</v>
      </c>
      <c r="C215" s="393"/>
      <c r="D215" s="394"/>
      <c r="E215" s="411"/>
      <c r="F215" s="411">
        <f>SUM(F212:F214)</f>
        <v>0</v>
      </c>
    </row>
    <row r="216" spans="1:6" ht="17.399999999999999" hidden="1" customHeight="1">
      <c r="A216" s="418" t="s">
        <v>16</v>
      </c>
      <c r="B216" s="419" t="s">
        <v>294</v>
      </c>
      <c r="C216" s="420"/>
      <c r="D216" s="401"/>
      <c r="E216" s="403"/>
      <c r="F216" s="402"/>
    </row>
    <row r="217" spans="1:6" ht="17.399999999999999" hidden="1" customHeight="1">
      <c r="A217" s="421" t="s">
        <v>17</v>
      </c>
      <c r="B217" s="422" t="s">
        <v>446</v>
      </c>
      <c r="C217" s="400"/>
      <c r="D217" s="406"/>
      <c r="E217" s="402"/>
      <c r="F217" s="402"/>
    </row>
    <row r="218" spans="1:6" ht="17.399999999999999" hidden="1" customHeight="1">
      <c r="A218" s="423" t="s">
        <v>86</v>
      </c>
      <c r="B218" s="424" t="s">
        <v>87</v>
      </c>
      <c r="C218" s="400" t="s">
        <v>10</v>
      </c>
      <c r="D218" s="406">
        <v>0</v>
      </c>
      <c r="E218" s="402"/>
      <c r="F218" s="402">
        <f>D218*E218</f>
        <v>0</v>
      </c>
    </row>
    <row r="219" spans="1:6" ht="17.399999999999999" hidden="1" customHeight="1">
      <c r="A219" s="423" t="s">
        <v>88</v>
      </c>
      <c r="B219" s="424" t="s">
        <v>617</v>
      </c>
      <c r="C219" s="400"/>
      <c r="D219" s="406"/>
      <c r="E219" s="402"/>
      <c r="F219" s="402"/>
    </row>
    <row r="220" spans="1:6" ht="17.399999999999999" hidden="1" customHeight="1">
      <c r="A220" s="423" t="s">
        <v>190</v>
      </c>
      <c r="B220" s="424" t="s">
        <v>20</v>
      </c>
      <c r="C220" s="400" t="s">
        <v>10</v>
      </c>
      <c r="D220" s="406">
        <v>0</v>
      </c>
      <c r="E220" s="402"/>
      <c r="F220" s="402">
        <f>D220*E220</f>
        <v>0</v>
      </c>
    </row>
    <row r="221" spans="1:6" ht="17.399999999999999" hidden="1" customHeight="1">
      <c r="A221" s="423" t="s">
        <v>448</v>
      </c>
      <c r="B221" s="424" t="s">
        <v>449</v>
      </c>
      <c r="C221" s="400" t="s">
        <v>23</v>
      </c>
      <c r="D221" s="406">
        <f>D220*40</f>
        <v>0</v>
      </c>
      <c r="E221" s="402"/>
      <c r="F221" s="402">
        <f>D221*E221</f>
        <v>0</v>
      </c>
    </row>
    <row r="222" spans="1:6" ht="17.399999999999999" hidden="1" customHeight="1">
      <c r="A222" s="423" t="s">
        <v>450</v>
      </c>
      <c r="B222" s="424" t="s">
        <v>451</v>
      </c>
      <c r="C222" s="400" t="s">
        <v>4</v>
      </c>
      <c r="D222" s="406">
        <v>0</v>
      </c>
      <c r="E222" s="402"/>
      <c r="F222" s="402">
        <f>D222*E222</f>
        <v>0</v>
      </c>
    </row>
    <row r="223" spans="1:6" ht="17.399999999999999" hidden="1" customHeight="1">
      <c r="A223" s="423" t="s">
        <v>89</v>
      </c>
      <c r="B223" s="424" t="s">
        <v>618</v>
      </c>
      <c r="C223" s="400"/>
      <c r="D223" s="406"/>
      <c r="E223" s="402"/>
      <c r="F223" s="402"/>
    </row>
    <row r="224" spans="1:6" ht="17.399999999999999" hidden="1" customHeight="1">
      <c r="A224" s="423" t="s">
        <v>193</v>
      </c>
      <c r="B224" s="424" t="s">
        <v>20</v>
      </c>
      <c r="C224" s="400" t="s">
        <v>10</v>
      </c>
      <c r="D224" s="406">
        <v>0</v>
      </c>
      <c r="E224" s="402"/>
      <c r="F224" s="402">
        <f>D224*E224</f>
        <v>0</v>
      </c>
    </row>
    <row r="225" spans="1:7" ht="17.399999999999999" hidden="1" customHeight="1">
      <c r="A225" s="423" t="s">
        <v>191</v>
      </c>
      <c r="B225" s="424" t="s">
        <v>359</v>
      </c>
      <c r="C225" s="400" t="s">
        <v>23</v>
      </c>
      <c r="D225" s="406">
        <f>D224*80</f>
        <v>0</v>
      </c>
      <c r="E225" s="402"/>
      <c r="F225" s="402">
        <f>D225*E225</f>
        <v>0</v>
      </c>
    </row>
    <row r="226" spans="1:7" ht="17.399999999999999" hidden="1" customHeight="1">
      <c r="A226" s="423" t="s">
        <v>194</v>
      </c>
      <c r="B226" s="424" t="s">
        <v>21</v>
      </c>
      <c r="C226" s="400" t="s">
        <v>4</v>
      </c>
      <c r="D226" s="406">
        <f>D224*12</f>
        <v>0</v>
      </c>
      <c r="E226" s="402"/>
      <c r="F226" s="402">
        <f>D226*E226</f>
        <v>0</v>
      </c>
    </row>
    <row r="227" spans="1:7" ht="17.399999999999999" hidden="1" customHeight="1">
      <c r="A227" s="423" t="s">
        <v>90</v>
      </c>
      <c r="B227" s="424" t="s">
        <v>453</v>
      </c>
      <c r="C227" s="400"/>
      <c r="D227" s="406"/>
      <c r="E227" s="402"/>
      <c r="F227" s="402"/>
    </row>
    <row r="228" spans="1:7" ht="17.399999999999999" hidden="1" customHeight="1">
      <c r="A228" s="423" t="s">
        <v>196</v>
      </c>
      <c r="B228" s="424" t="s">
        <v>20</v>
      </c>
      <c r="C228" s="400" t="s">
        <v>10</v>
      </c>
      <c r="D228" s="406">
        <v>0</v>
      </c>
      <c r="E228" s="402"/>
      <c r="F228" s="402">
        <f>D228*E228</f>
        <v>0</v>
      </c>
    </row>
    <row r="229" spans="1:7" ht="15.5" hidden="1">
      <c r="A229" s="423" t="s">
        <v>197</v>
      </c>
      <c r="B229" s="424" t="s">
        <v>22</v>
      </c>
      <c r="C229" s="400" t="s">
        <v>23</v>
      </c>
      <c r="D229" s="406">
        <f>D228*80</f>
        <v>0</v>
      </c>
      <c r="E229" s="402"/>
      <c r="F229" s="402">
        <f>D229*E229</f>
        <v>0</v>
      </c>
    </row>
    <row r="230" spans="1:7" ht="15.5" hidden="1">
      <c r="A230" s="423" t="s">
        <v>198</v>
      </c>
      <c r="B230" s="424" t="s">
        <v>21</v>
      </c>
      <c r="C230" s="400" t="s">
        <v>4</v>
      </c>
      <c r="D230" s="406">
        <f>D228*12</f>
        <v>0</v>
      </c>
      <c r="E230" s="402"/>
      <c r="F230" s="402">
        <f>D230*E230</f>
        <v>0</v>
      </c>
    </row>
    <row r="231" spans="1:7" ht="15.5" hidden="1">
      <c r="A231" s="423" t="s">
        <v>91</v>
      </c>
      <c r="B231" s="424" t="s">
        <v>454</v>
      </c>
      <c r="C231" s="400" t="s">
        <v>4</v>
      </c>
      <c r="D231" s="406">
        <v>0</v>
      </c>
      <c r="E231" s="402"/>
      <c r="F231" s="402">
        <f>D231*E231</f>
        <v>0</v>
      </c>
    </row>
    <row r="232" spans="1:7" s="385" customFormat="1" ht="15.5">
      <c r="A232" s="423" t="s">
        <v>92</v>
      </c>
      <c r="B232" s="424" t="s">
        <v>367</v>
      </c>
      <c r="C232" s="400"/>
      <c r="D232" s="406"/>
      <c r="E232" s="402"/>
      <c r="F232" s="402"/>
      <c r="G232" s="382"/>
    </row>
    <row r="233" spans="1:7" s="385" customFormat="1" ht="15.5">
      <c r="A233" s="423" t="s">
        <v>201</v>
      </c>
      <c r="B233" s="426" t="s">
        <v>456</v>
      </c>
      <c r="C233" s="400" t="s">
        <v>4</v>
      </c>
      <c r="D233" s="406">
        <f>8*8.94*3+31.25*2+8*3.8</f>
        <v>307.45999999999998</v>
      </c>
      <c r="E233" s="402"/>
      <c r="F233" s="402">
        <f>D233*E233</f>
        <v>0</v>
      </c>
      <c r="G233" s="382"/>
    </row>
    <row r="234" spans="1:7" ht="15.5">
      <c r="A234" s="423" t="s">
        <v>457</v>
      </c>
      <c r="B234" s="426" t="s">
        <v>619</v>
      </c>
      <c r="C234" s="427" t="s">
        <v>10</v>
      </c>
      <c r="D234" s="428">
        <f>D233*0.1</f>
        <v>30.745999999999999</v>
      </c>
      <c r="E234" s="407"/>
      <c r="F234" s="402">
        <f>D234*E234</f>
        <v>0</v>
      </c>
    </row>
    <row r="235" spans="1:7" ht="15.5">
      <c r="A235" s="423" t="s">
        <v>459</v>
      </c>
      <c r="B235" s="424" t="s">
        <v>620</v>
      </c>
      <c r="C235" s="400" t="s">
        <v>23</v>
      </c>
      <c r="D235" s="406">
        <f>D233*3</f>
        <v>922.37999999999988</v>
      </c>
      <c r="E235" s="402"/>
      <c r="F235" s="402">
        <f>D235*E235</f>
        <v>0</v>
      </c>
    </row>
    <row r="236" spans="1:7" ht="15.5">
      <c r="A236" s="423" t="s">
        <v>461</v>
      </c>
      <c r="B236" s="424" t="s">
        <v>93</v>
      </c>
      <c r="C236" s="400" t="s">
        <v>4</v>
      </c>
      <c r="D236" s="406">
        <f>D233</f>
        <v>307.45999999999998</v>
      </c>
      <c r="E236" s="402"/>
      <c r="F236" s="402">
        <f>D236*E236</f>
        <v>0</v>
      </c>
    </row>
    <row r="237" spans="1:7" ht="15.5">
      <c r="A237" s="423" t="s">
        <v>94</v>
      </c>
      <c r="B237" s="429" t="s">
        <v>95</v>
      </c>
      <c r="C237" s="400"/>
      <c r="D237" s="400"/>
      <c r="E237" s="402"/>
      <c r="F237" s="402"/>
    </row>
    <row r="238" spans="1:7" ht="46.5">
      <c r="A238" s="423" t="s">
        <v>462</v>
      </c>
      <c r="B238" s="430" t="s">
        <v>463</v>
      </c>
      <c r="C238" s="400" t="s">
        <v>4</v>
      </c>
      <c r="D238" s="400">
        <f>31.25*0.44*2</f>
        <v>27.5</v>
      </c>
      <c r="E238" s="402"/>
      <c r="F238" s="402">
        <f>D238*E238</f>
        <v>0</v>
      </c>
    </row>
    <row r="239" spans="1:7" ht="15.5">
      <c r="A239" s="423" t="s">
        <v>464</v>
      </c>
      <c r="B239" s="426" t="s">
        <v>96</v>
      </c>
      <c r="C239" s="400" t="s">
        <v>10</v>
      </c>
      <c r="D239" s="400">
        <f>31.25*0.4*0.4</f>
        <v>5</v>
      </c>
      <c r="E239" s="402"/>
      <c r="F239" s="402">
        <f>D239*E239</f>
        <v>0</v>
      </c>
    </row>
    <row r="240" spans="1:7" ht="15.5">
      <c r="A240" s="423" t="s">
        <v>465</v>
      </c>
      <c r="B240" s="426" t="s">
        <v>97</v>
      </c>
      <c r="C240" s="400" t="s">
        <v>10</v>
      </c>
      <c r="D240" s="400">
        <f>31.25*0.4*0.1</f>
        <v>1.25</v>
      </c>
      <c r="E240" s="402"/>
      <c r="F240" s="402">
        <f>D240*E240</f>
        <v>0</v>
      </c>
    </row>
    <row r="241" spans="1:6" ht="15.5">
      <c r="A241" s="423" t="s">
        <v>94</v>
      </c>
      <c r="B241" s="429" t="s">
        <v>466</v>
      </c>
      <c r="C241" s="400"/>
      <c r="D241" s="400"/>
      <c r="E241" s="402"/>
      <c r="F241" s="402"/>
    </row>
    <row r="242" spans="1:6" ht="46.5">
      <c r="A242" s="423" t="s">
        <v>462</v>
      </c>
      <c r="B242" s="430" t="s">
        <v>467</v>
      </c>
      <c r="C242" s="400" t="s">
        <v>4</v>
      </c>
      <c r="D242" s="400">
        <f>31.25*1.5</f>
        <v>46.875</v>
      </c>
      <c r="E242" s="402"/>
      <c r="F242" s="402">
        <f>D242*E242</f>
        <v>0</v>
      </c>
    </row>
    <row r="243" spans="1:6" ht="21.65" customHeight="1">
      <c r="A243" s="421" t="s">
        <v>24</v>
      </c>
      <c r="B243" s="422" t="s">
        <v>468</v>
      </c>
      <c r="C243" s="414"/>
      <c r="D243" s="406"/>
      <c r="E243" s="431"/>
      <c r="F243" s="402"/>
    </row>
    <row r="244" spans="1:6" ht="15.5">
      <c r="A244" s="423" t="s">
        <v>399</v>
      </c>
      <c r="B244" s="424" t="s">
        <v>472</v>
      </c>
      <c r="C244" s="400" t="s">
        <v>4</v>
      </c>
      <c r="D244" s="406">
        <f>27*3*0.15</f>
        <v>12.15</v>
      </c>
      <c r="E244" s="402"/>
      <c r="F244" s="402">
        <f>D244*E244</f>
        <v>0</v>
      </c>
    </row>
    <row r="245" spans="1:6" ht="15.5">
      <c r="A245" s="423" t="s">
        <v>399</v>
      </c>
      <c r="B245" s="424" t="s">
        <v>621</v>
      </c>
      <c r="C245" s="400" t="s">
        <v>4</v>
      </c>
      <c r="D245" s="406">
        <f>(2*10*0.66+3*8*0.66)</f>
        <v>29.04</v>
      </c>
      <c r="E245" s="402"/>
      <c r="F245" s="402">
        <f>D245*E245</f>
        <v>0</v>
      </c>
    </row>
    <row r="246" spans="1:6" ht="15.5">
      <c r="A246" s="423" t="s">
        <v>26</v>
      </c>
      <c r="B246" s="424" t="s">
        <v>622</v>
      </c>
      <c r="C246" s="400" t="s">
        <v>4</v>
      </c>
      <c r="D246" s="406">
        <f>(31.25*3*0.44+10*2*0.44+5*8*0.44)</f>
        <v>67.650000000000006</v>
      </c>
      <c r="E246" s="402"/>
      <c r="F246" s="402">
        <f>D246*E246</f>
        <v>0</v>
      </c>
    </row>
    <row r="247" spans="1:6" ht="15.5" hidden="1">
      <c r="A247" s="423" t="s">
        <v>399</v>
      </c>
      <c r="B247" s="424" t="s">
        <v>623</v>
      </c>
      <c r="C247" s="400" t="s">
        <v>4</v>
      </c>
      <c r="D247" s="406">
        <v>0</v>
      </c>
      <c r="E247" s="402"/>
      <c r="F247" s="402">
        <f>D247*E247</f>
        <v>0</v>
      </c>
    </row>
    <row r="248" spans="1:6" ht="15.5" hidden="1">
      <c r="A248" s="423" t="s">
        <v>400</v>
      </c>
      <c r="B248" s="424" t="s">
        <v>98</v>
      </c>
      <c r="C248" s="400"/>
      <c r="D248" s="406"/>
      <c r="E248" s="402"/>
      <c r="F248" s="402"/>
    </row>
    <row r="249" spans="1:6" ht="15.5" hidden="1">
      <c r="A249" s="423" t="s">
        <v>474</v>
      </c>
      <c r="B249" s="424" t="s">
        <v>20</v>
      </c>
      <c r="C249" s="400" t="s">
        <v>10</v>
      </c>
      <c r="D249" s="406">
        <f>27*0.2*0.15*4*0</f>
        <v>0</v>
      </c>
      <c r="E249" s="402"/>
      <c r="F249" s="402">
        <f>D249*E249</f>
        <v>0</v>
      </c>
    </row>
    <row r="250" spans="1:6" ht="15.5" hidden="1">
      <c r="A250" s="423" t="s">
        <v>475</v>
      </c>
      <c r="B250" s="424" t="s">
        <v>22</v>
      </c>
      <c r="C250" s="400" t="s">
        <v>23</v>
      </c>
      <c r="D250" s="406">
        <f>D249*80</f>
        <v>0</v>
      </c>
      <c r="E250" s="402"/>
      <c r="F250" s="402">
        <f>D250*E250</f>
        <v>0</v>
      </c>
    </row>
    <row r="251" spans="1:6" ht="15.5" hidden="1">
      <c r="A251" s="423" t="s">
        <v>476</v>
      </c>
      <c r="B251" s="424" t="s">
        <v>21</v>
      </c>
      <c r="C251" s="400" t="s">
        <v>4</v>
      </c>
      <c r="D251" s="406">
        <f>D249*12</f>
        <v>0</v>
      </c>
      <c r="E251" s="402"/>
      <c r="F251" s="402">
        <f>D251*E251</f>
        <v>0</v>
      </c>
    </row>
    <row r="252" spans="1:6" ht="15.5" hidden="1">
      <c r="A252" s="423" t="s">
        <v>27</v>
      </c>
      <c r="B252" s="424" t="s">
        <v>624</v>
      </c>
      <c r="C252" s="400"/>
      <c r="D252" s="406"/>
      <c r="E252" s="402"/>
      <c r="F252" s="402"/>
    </row>
    <row r="253" spans="1:6" s="433" customFormat="1" ht="15.5" hidden="1">
      <c r="A253" s="432" t="s">
        <v>209</v>
      </c>
      <c r="B253" s="426" t="s">
        <v>20</v>
      </c>
      <c r="C253" s="427" t="s">
        <v>10</v>
      </c>
      <c r="D253" s="428">
        <v>0</v>
      </c>
      <c r="E253" s="407"/>
      <c r="F253" s="407">
        <f t="shared" ref="F253:F259" si="4">D253*E253</f>
        <v>0</v>
      </c>
    </row>
    <row r="254" spans="1:6" ht="15.5" hidden="1">
      <c r="A254" s="423" t="s">
        <v>210</v>
      </c>
      <c r="B254" s="424" t="s">
        <v>22</v>
      </c>
      <c r="C254" s="400" t="s">
        <v>23</v>
      </c>
      <c r="D254" s="406">
        <f>D253*80</f>
        <v>0</v>
      </c>
      <c r="E254" s="402"/>
      <c r="F254" s="402">
        <f t="shared" si="4"/>
        <v>0</v>
      </c>
    </row>
    <row r="255" spans="1:6" ht="15.5" hidden="1">
      <c r="A255" s="423" t="s">
        <v>211</v>
      </c>
      <c r="B255" s="424" t="s">
        <v>100</v>
      </c>
      <c r="C255" s="400" t="s">
        <v>4</v>
      </c>
      <c r="D255" s="406">
        <f>D253*2</f>
        <v>0</v>
      </c>
      <c r="E255" s="402"/>
      <c r="F255" s="402">
        <f t="shared" si="4"/>
        <v>0</v>
      </c>
    </row>
    <row r="256" spans="1:6" ht="15.5" hidden="1">
      <c r="A256" s="423" t="s">
        <v>101</v>
      </c>
      <c r="B256" s="424" t="s">
        <v>477</v>
      </c>
      <c r="C256" s="400"/>
      <c r="D256" s="406"/>
      <c r="E256" s="402"/>
      <c r="F256" s="402">
        <f t="shared" si="4"/>
        <v>0</v>
      </c>
    </row>
    <row r="257" spans="1:6" ht="15.5" hidden="1">
      <c r="A257" s="423" t="s">
        <v>478</v>
      </c>
      <c r="B257" s="424" t="s">
        <v>20</v>
      </c>
      <c r="C257" s="400" t="s">
        <v>10</v>
      </c>
      <c r="D257" s="406">
        <v>0</v>
      </c>
      <c r="E257" s="402"/>
      <c r="F257" s="402">
        <f t="shared" si="4"/>
        <v>0</v>
      </c>
    </row>
    <row r="258" spans="1:6" ht="15.5" hidden="1">
      <c r="A258" s="423" t="s">
        <v>479</v>
      </c>
      <c r="B258" s="424" t="s">
        <v>480</v>
      </c>
      <c r="C258" s="400" t="s">
        <v>23</v>
      </c>
      <c r="D258" s="406">
        <v>0</v>
      </c>
      <c r="E258" s="402"/>
      <c r="F258" s="402">
        <f t="shared" si="4"/>
        <v>0</v>
      </c>
    </row>
    <row r="259" spans="1:6" ht="15.5" hidden="1">
      <c r="A259" s="423" t="s">
        <v>481</v>
      </c>
      <c r="B259" s="424" t="s">
        <v>100</v>
      </c>
      <c r="C259" s="400" t="s">
        <v>4</v>
      </c>
      <c r="D259" s="406">
        <v>0</v>
      </c>
      <c r="E259" s="402"/>
      <c r="F259" s="402">
        <f t="shared" si="4"/>
        <v>0</v>
      </c>
    </row>
    <row r="260" spans="1:6" ht="15.5">
      <c r="A260" s="423" t="s">
        <v>28</v>
      </c>
      <c r="B260" s="424" t="s">
        <v>102</v>
      </c>
      <c r="C260" s="400"/>
      <c r="D260" s="406"/>
      <c r="E260" s="402"/>
      <c r="F260" s="402"/>
    </row>
    <row r="261" spans="1:6" ht="15.5">
      <c r="A261" s="423"/>
      <c r="B261" s="424" t="s">
        <v>483</v>
      </c>
      <c r="C261" s="400"/>
      <c r="D261" s="406"/>
      <c r="E261" s="402"/>
      <c r="F261" s="402"/>
    </row>
    <row r="262" spans="1:6" ht="15.5">
      <c r="A262" s="423" t="s">
        <v>484</v>
      </c>
      <c r="B262" s="424" t="s">
        <v>20</v>
      </c>
      <c r="C262" s="400" t="s">
        <v>10</v>
      </c>
      <c r="D262" s="406">
        <f>(12*2*0.1*0.15+10*3*0.1*0.15)</f>
        <v>0.81</v>
      </c>
      <c r="E262" s="402"/>
      <c r="F262" s="402">
        <f t="shared" ref="F262:F268" si="5">D262*E262</f>
        <v>0</v>
      </c>
    </row>
    <row r="263" spans="1:6" ht="15.5">
      <c r="A263" s="423" t="s">
        <v>485</v>
      </c>
      <c r="B263" s="424" t="s">
        <v>22</v>
      </c>
      <c r="C263" s="400" t="s">
        <v>23</v>
      </c>
      <c r="D263" s="406">
        <f>D262*80</f>
        <v>64.800000000000011</v>
      </c>
      <c r="E263" s="402"/>
      <c r="F263" s="402">
        <f t="shared" si="5"/>
        <v>0</v>
      </c>
    </row>
    <row r="264" spans="1:6" ht="15.5">
      <c r="A264" s="423" t="s">
        <v>486</v>
      </c>
      <c r="B264" s="424" t="s">
        <v>100</v>
      </c>
      <c r="C264" s="400" t="s">
        <v>4</v>
      </c>
      <c r="D264" s="406">
        <f>D262*2</f>
        <v>1.62</v>
      </c>
      <c r="E264" s="402"/>
      <c r="F264" s="402">
        <f t="shared" si="5"/>
        <v>0</v>
      </c>
    </row>
    <row r="265" spans="1:6" ht="15.5" hidden="1">
      <c r="A265" s="423" t="s">
        <v>29</v>
      </c>
      <c r="B265" s="424" t="s">
        <v>487</v>
      </c>
      <c r="C265" s="400"/>
      <c r="D265" s="406"/>
      <c r="E265" s="402"/>
      <c r="F265" s="402">
        <f t="shared" si="5"/>
        <v>0</v>
      </c>
    </row>
    <row r="266" spans="1:6" ht="15.5" hidden="1">
      <c r="A266" s="423" t="s">
        <v>213</v>
      </c>
      <c r="B266" s="424" t="s">
        <v>20</v>
      </c>
      <c r="C266" s="400" t="s">
        <v>10</v>
      </c>
      <c r="D266" s="406">
        <v>0</v>
      </c>
      <c r="E266" s="402"/>
      <c r="F266" s="402">
        <f t="shared" si="5"/>
        <v>0</v>
      </c>
    </row>
    <row r="267" spans="1:6" ht="15.5" hidden="1">
      <c r="A267" s="423" t="s">
        <v>214</v>
      </c>
      <c r="B267" s="424" t="s">
        <v>22</v>
      </c>
      <c r="C267" s="400" t="s">
        <v>23</v>
      </c>
      <c r="D267" s="406">
        <v>0</v>
      </c>
      <c r="E267" s="402"/>
      <c r="F267" s="402">
        <f t="shared" si="5"/>
        <v>0</v>
      </c>
    </row>
    <row r="268" spans="1:6" ht="16" hidden="1" thickBot="1">
      <c r="A268" s="434" t="s">
        <v>215</v>
      </c>
      <c r="B268" s="435" t="s">
        <v>100</v>
      </c>
      <c r="C268" s="436" t="s">
        <v>4</v>
      </c>
      <c r="D268" s="406">
        <v>0</v>
      </c>
      <c r="E268" s="402"/>
      <c r="F268" s="402">
        <f t="shared" si="5"/>
        <v>0</v>
      </c>
    </row>
    <row r="269" spans="1:6" ht="15.5">
      <c r="A269" s="423" t="s">
        <v>216</v>
      </c>
      <c r="B269" s="424" t="s">
        <v>33</v>
      </c>
      <c r="C269" s="400"/>
      <c r="D269" s="406"/>
      <c r="E269" s="402"/>
      <c r="F269" s="402"/>
    </row>
    <row r="270" spans="1:6" ht="15.5">
      <c r="A270" s="423" t="s">
        <v>217</v>
      </c>
      <c r="B270" s="424" t="s">
        <v>488</v>
      </c>
      <c r="C270" s="400" t="s">
        <v>4</v>
      </c>
      <c r="D270" s="406">
        <f>D246*2*1.1</f>
        <v>148.83000000000001</v>
      </c>
      <c r="E270" s="402"/>
      <c r="F270" s="402">
        <f>D270*E270</f>
        <v>0</v>
      </c>
    </row>
    <row r="271" spans="1:6" ht="15.5">
      <c r="A271" s="423" t="s">
        <v>489</v>
      </c>
      <c r="B271" s="424" t="s">
        <v>490</v>
      </c>
      <c r="C271" s="400" t="s">
        <v>4</v>
      </c>
      <c r="D271" s="406">
        <v>0</v>
      </c>
      <c r="E271" s="402"/>
      <c r="F271" s="402">
        <f>D271*E271</f>
        <v>0</v>
      </c>
    </row>
    <row r="272" spans="1:6" ht="15.5">
      <c r="A272" s="423" t="s">
        <v>491</v>
      </c>
      <c r="B272" s="424" t="s">
        <v>103</v>
      </c>
      <c r="C272" s="400"/>
      <c r="D272" s="406"/>
      <c r="E272" s="402"/>
      <c r="F272" s="402"/>
    </row>
    <row r="273" spans="1:6" ht="15.5">
      <c r="A273" s="423"/>
      <c r="B273" s="424" t="s">
        <v>492</v>
      </c>
      <c r="C273" s="400" t="s">
        <v>4</v>
      </c>
      <c r="D273" s="406">
        <v>0</v>
      </c>
      <c r="E273" s="402"/>
      <c r="F273" s="402">
        <f>D273*E273</f>
        <v>0</v>
      </c>
    </row>
    <row r="274" spans="1:6" ht="17.5">
      <c r="A274" s="423" t="s">
        <v>491</v>
      </c>
      <c r="B274" s="424" t="s">
        <v>493</v>
      </c>
      <c r="C274" s="400" t="s">
        <v>104</v>
      </c>
      <c r="D274" s="406">
        <v>0</v>
      </c>
      <c r="E274" s="402"/>
      <c r="F274" s="402">
        <f>D274*E274</f>
        <v>0</v>
      </c>
    </row>
    <row r="275" spans="1:6" ht="15.5">
      <c r="A275" s="421" t="s">
        <v>6</v>
      </c>
      <c r="B275" s="422" t="s">
        <v>34</v>
      </c>
      <c r="C275" s="400"/>
      <c r="D275" s="406"/>
      <c r="E275" s="402"/>
      <c r="F275" s="402"/>
    </row>
    <row r="276" spans="1:6" ht="15.5">
      <c r="A276" s="423" t="s">
        <v>221</v>
      </c>
      <c r="B276" s="424" t="s">
        <v>625</v>
      </c>
      <c r="C276" s="400" t="s">
        <v>9</v>
      </c>
      <c r="D276" s="406">
        <v>4</v>
      </c>
      <c r="E276" s="402"/>
      <c r="F276" s="402">
        <f>D276*E276</f>
        <v>0</v>
      </c>
    </row>
    <row r="277" spans="1:6" ht="15.5">
      <c r="A277" s="423" t="s">
        <v>221</v>
      </c>
      <c r="B277" s="424" t="s">
        <v>495</v>
      </c>
      <c r="C277" s="400" t="s">
        <v>9</v>
      </c>
      <c r="D277" s="406">
        <v>3</v>
      </c>
      <c r="E277" s="402"/>
      <c r="F277" s="402">
        <f>D277*E277</f>
        <v>0</v>
      </c>
    </row>
    <row r="278" spans="1:6" ht="15.5" hidden="1">
      <c r="A278" s="423" t="s">
        <v>30</v>
      </c>
      <c r="B278" s="422" t="s">
        <v>35</v>
      </c>
      <c r="C278" s="400"/>
      <c r="D278" s="406"/>
      <c r="E278" s="402"/>
      <c r="F278" s="402"/>
    </row>
    <row r="279" spans="1:6" ht="15.5" hidden="1">
      <c r="A279" s="423" t="s">
        <v>496</v>
      </c>
      <c r="B279" s="424" t="s">
        <v>497</v>
      </c>
      <c r="C279" s="400" t="s">
        <v>182</v>
      </c>
      <c r="D279" s="406">
        <v>0</v>
      </c>
      <c r="E279" s="402"/>
      <c r="F279" s="402">
        <f>D279*E279</f>
        <v>0</v>
      </c>
    </row>
    <row r="280" spans="1:6" ht="15.5" hidden="1">
      <c r="A280" s="423" t="s">
        <v>496</v>
      </c>
      <c r="B280" s="424" t="s">
        <v>105</v>
      </c>
      <c r="C280" s="400" t="s">
        <v>10</v>
      </c>
      <c r="D280" s="439">
        <v>0</v>
      </c>
      <c r="E280" s="402"/>
      <c r="F280" s="402">
        <f>D280*E280</f>
        <v>0</v>
      </c>
    </row>
    <row r="281" spans="1:6" ht="15.5" hidden="1">
      <c r="A281" s="423" t="s">
        <v>498</v>
      </c>
      <c r="B281" s="405" t="s">
        <v>499</v>
      </c>
      <c r="C281" s="400" t="s">
        <v>10</v>
      </c>
      <c r="D281" s="439">
        <v>0</v>
      </c>
      <c r="E281" s="402"/>
      <c r="F281" s="402">
        <f>D281*E281</f>
        <v>0</v>
      </c>
    </row>
    <row r="282" spans="1:6" ht="15.5" hidden="1">
      <c r="A282" s="423" t="s">
        <v>500</v>
      </c>
      <c r="B282" s="424" t="s">
        <v>87</v>
      </c>
      <c r="C282" s="400" t="s">
        <v>10</v>
      </c>
      <c r="D282" s="439">
        <v>0</v>
      </c>
      <c r="E282" s="402"/>
      <c r="F282" s="402">
        <f>D282*E282</f>
        <v>0</v>
      </c>
    </row>
    <row r="283" spans="1:6" ht="15.5" hidden="1">
      <c r="A283" s="423" t="s">
        <v>223</v>
      </c>
      <c r="B283" s="424" t="s">
        <v>106</v>
      </c>
      <c r="C283" s="400" t="s">
        <v>4</v>
      </c>
      <c r="D283" s="439">
        <v>0</v>
      </c>
      <c r="E283" s="402"/>
      <c r="F283" s="402">
        <f>D283*E283</f>
        <v>0</v>
      </c>
    </row>
    <row r="284" spans="1:6" ht="15.5" hidden="1">
      <c r="A284" s="423" t="s">
        <v>501</v>
      </c>
      <c r="B284" s="424" t="s">
        <v>502</v>
      </c>
      <c r="C284" s="400"/>
      <c r="D284" s="439"/>
      <c r="E284" s="402"/>
      <c r="F284" s="402"/>
    </row>
    <row r="285" spans="1:6" ht="15.5" hidden="1">
      <c r="A285" s="423" t="s">
        <v>503</v>
      </c>
      <c r="B285" s="424" t="s">
        <v>20</v>
      </c>
      <c r="C285" s="400" t="s">
        <v>10</v>
      </c>
      <c r="D285" s="439">
        <v>0</v>
      </c>
      <c r="E285" s="402"/>
      <c r="F285" s="402">
        <f>D285*E285</f>
        <v>0</v>
      </c>
    </row>
    <row r="286" spans="1:6" ht="15.5" hidden="1">
      <c r="A286" s="423" t="s">
        <v>504</v>
      </c>
      <c r="B286" s="424" t="s">
        <v>100</v>
      </c>
      <c r="C286" s="400" t="s">
        <v>4</v>
      </c>
      <c r="D286" s="439">
        <v>0</v>
      </c>
      <c r="E286" s="402"/>
      <c r="F286" s="402">
        <f>D286*E286</f>
        <v>0</v>
      </c>
    </row>
    <row r="287" spans="1:6" ht="15.5" hidden="1">
      <c r="A287" s="423" t="s">
        <v>505</v>
      </c>
      <c r="B287" s="424" t="s">
        <v>506</v>
      </c>
      <c r="C287" s="400" t="s">
        <v>4</v>
      </c>
      <c r="D287" s="439">
        <v>0</v>
      </c>
      <c r="E287" s="402"/>
      <c r="F287" s="402">
        <f>D287*E287</f>
        <v>0</v>
      </c>
    </row>
    <row r="288" spans="1:6" ht="15.5">
      <c r="A288" s="423" t="s">
        <v>31</v>
      </c>
      <c r="B288" s="422" t="s">
        <v>36</v>
      </c>
      <c r="C288" s="400"/>
      <c r="D288" s="406"/>
      <c r="E288" s="402"/>
      <c r="F288" s="402"/>
    </row>
    <row r="289" spans="1:6" ht="15.5">
      <c r="A289" s="423" t="s">
        <v>507</v>
      </c>
      <c r="B289" s="424" t="s">
        <v>105</v>
      </c>
      <c r="C289" s="400" t="s">
        <v>10</v>
      </c>
      <c r="D289" s="406">
        <f>(2*2+1.2)*0.4*0.4</f>
        <v>0.83200000000000007</v>
      </c>
      <c r="E289" s="402"/>
      <c r="F289" s="402">
        <f>D289*E289</f>
        <v>0</v>
      </c>
    </row>
    <row r="290" spans="1:6" ht="15.5">
      <c r="A290" s="423" t="s">
        <v>508</v>
      </c>
      <c r="B290" s="405" t="s">
        <v>107</v>
      </c>
      <c r="C290" s="400" t="s">
        <v>10</v>
      </c>
      <c r="D290" s="406">
        <v>0</v>
      </c>
      <c r="E290" s="402"/>
      <c r="F290" s="402">
        <f>D290*E290</f>
        <v>0</v>
      </c>
    </row>
    <row r="291" spans="1:6" ht="15.5">
      <c r="A291" s="423" t="s">
        <v>509</v>
      </c>
      <c r="B291" s="424" t="s">
        <v>87</v>
      </c>
      <c r="C291" s="400" t="s">
        <v>10</v>
      </c>
      <c r="D291" s="406">
        <f>(4+1.2)*0.4*0.05</f>
        <v>0.10400000000000001</v>
      </c>
      <c r="E291" s="402"/>
      <c r="F291" s="402">
        <f>D291*E291</f>
        <v>0</v>
      </c>
    </row>
    <row r="292" spans="1:6" ht="15.5">
      <c r="A292" s="423" t="s">
        <v>510</v>
      </c>
      <c r="B292" s="424" t="s">
        <v>106</v>
      </c>
      <c r="C292" s="400" t="s">
        <v>4</v>
      </c>
      <c r="D292" s="406">
        <f>2*2*0.4</f>
        <v>1.6</v>
      </c>
      <c r="E292" s="402"/>
      <c r="F292" s="402">
        <f>D292*E292</f>
        <v>0</v>
      </c>
    </row>
    <row r="293" spans="1:6" ht="15.5">
      <c r="A293" s="423" t="s">
        <v>32</v>
      </c>
      <c r="B293" s="424" t="s">
        <v>511</v>
      </c>
      <c r="C293" s="400"/>
      <c r="D293" s="406"/>
      <c r="E293" s="402"/>
      <c r="F293" s="402"/>
    </row>
    <row r="294" spans="1:6" ht="15.5">
      <c r="A294" s="423" t="s">
        <v>512</v>
      </c>
      <c r="B294" s="424" t="s">
        <v>20</v>
      </c>
      <c r="C294" s="400" t="s">
        <v>10</v>
      </c>
      <c r="D294" s="406">
        <f>2*2.2*0.15</f>
        <v>0.66</v>
      </c>
      <c r="E294" s="402"/>
      <c r="F294" s="402">
        <f t="shared" ref="F294:F305" si="6">D294*E294</f>
        <v>0</v>
      </c>
    </row>
    <row r="295" spans="1:6" ht="15.5">
      <c r="A295" s="423" t="s">
        <v>513</v>
      </c>
      <c r="B295" s="424" t="s">
        <v>302</v>
      </c>
      <c r="C295" s="400" t="s">
        <v>23</v>
      </c>
      <c r="D295" s="406">
        <f>D294*12</f>
        <v>7.92</v>
      </c>
      <c r="E295" s="402"/>
      <c r="F295" s="402">
        <f t="shared" si="6"/>
        <v>0</v>
      </c>
    </row>
    <row r="296" spans="1:6" ht="15.5">
      <c r="A296" s="423" t="s">
        <v>514</v>
      </c>
      <c r="B296" s="424" t="s">
        <v>100</v>
      </c>
      <c r="C296" s="400" t="s">
        <v>4</v>
      </c>
      <c r="D296" s="406">
        <f>D294*2</f>
        <v>1.32</v>
      </c>
      <c r="E296" s="402"/>
      <c r="F296" s="402">
        <f t="shared" si="6"/>
        <v>0</v>
      </c>
    </row>
    <row r="297" spans="1:6" ht="15.5" hidden="1">
      <c r="A297" s="423" t="s">
        <v>108</v>
      </c>
      <c r="B297" s="422" t="s">
        <v>515</v>
      </c>
      <c r="C297" s="400"/>
      <c r="D297" s="406"/>
      <c r="E297" s="402"/>
      <c r="F297" s="402">
        <f t="shared" si="6"/>
        <v>0</v>
      </c>
    </row>
    <row r="298" spans="1:6" ht="15.5" hidden="1">
      <c r="A298" s="423"/>
      <c r="B298" s="422" t="s">
        <v>516</v>
      </c>
      <c r="C298" s="400"/>
      <c r="D298" s="406"/>
      <c r="E298" s="402"/>
      <c r="F298" s="402">
        <f t="shared" si="6"/>
        <v>0</v>
      </c>
    </row>
    <row r="299" spans="1:6" ht="15.5" hidden="1">
      <c r="A299" s="423" t="s">
        <v>109</v>
      </c>
      <c r="B299" s="424" t="s">
        <v>20</v>
      </c>
      <c r="C299" s="400" t="s">
        <v>10</v>
      </c>
      <c r="D299" s="406">
        <v>0</v>
      </c>
      <c r="E299" s="402"/>
      <c r="F299" s="402">
        <f t="shared" si="6"/>
        <v>0</v>
      </c>
    </row>
    <row r="300" spans="1:6" ht="15.5" hidden="1">
      <c r="A300" s="423" t="s">
        <v>110</v>
      </c>
      <c r="B300" s="424" t="s">
        <v>302</v>
      </c>
      <c r="C300" s="400" t="s">
        <v>23</v>
      </c>
      <c r="D300" s="406">
        <v>0</v>
      </c>
      <c r="E300" s="402"/>
      <c r="F300" s="402">
        <f t="shared" si="6"/>
        <v>0</v>
      </c>
    </row>
    <row r="301" spans="1:6" ht="15.5" hidden="1">
      <c r="A301" s="423" t="s">
        <v>111</v>
      </c>
      <c r="B301" s="424" t="s">
        <v>517</v>
      </c>
      <c r="C301" s="400" t="s">
        <v>4</v>
      </c>
      <c r="D301" s="406">
        <v>0</v>
      </c>
      <c r="E301" s="402"/>
      <c r="F301" s="402">
        <f t="shared" si="6"/>
        <v>0</v>
      </c>
    </row>
    <row r="302" spans="1:6" ht="15.5" hidden="1">
      <c r="A302" s="423" t="s">
        <v>112</v>
      </c>
      <c r="B302" s="424" t="s">
        <v>518</v>
      </c>
      <c r="C302" s="400"/>
      <c r="D302" s="406"/>
      <c r="E302" s="402"/>
      <c r="F302" s="402">
        <f t="shared" si="6"/>
        <v>0</v>
      </c>
    </row>
    <row r="303" spans="1:6" ht="15.5" hidden="1">
      <c r="A303" s="423" t="s">
        <v>401</v>
      </c>
      <c r="B303" s="424" t="s">
        <v>20</v>
      </c>
      <c r="C303" s="400" t="s">
        <v>10</v>
      </c>
      <c r="D303" s="406">
        <v>0</v>
      </c>
      <c r="E303" s="402"/>
      <c r="F303" s="402">
        <f t="shared" si="6"/>
        <v>0</v>
      </c>
    </row>
    <row r="304" spans="1:6" ht="15.5" hidden="1">
      <c r="A304" s="423" t="s">
        <v>113</v>
      </c>
      <c r="B304" s="424" t="s">
        <v>302</v>
      </c>
      <c r="C304" s="400" t="s">
        <v>23</v>
      </c>
      <c r="D304" s="406">
        <v>0</v>
      </c>
      <c r="E304" s="402"/>
      <c r="F304" s="402">
        <f t="shared" si="6"/>
        <v>0</v>
      </c>
    </row>
    <row r="305" spans="1:6" ht="15.5" hidden="1">
      <c r="A305" s="423" t="s">
        <v>284</v>
      </c>
      <c r="B305" s="424" t="s">
        <v>517</v>
      </c>
      <c r="C305" s="400" t="s">
        <v>4</v>
      </c>
      <c r="D305" s="406">
        <v>0</v>
      </c>
      <c r="E305" s="402"/>
      <c r="F305" s="402">
        <f t="shared" si="6"/>
        <v>0</v>
      </c>
    </row>
    <row r="306" spans="1:6" ht="15.5">
      <c r="A306" s="423" t="s">
        <v>519</v>
      </c>
      <c r="B306" s="422" t="s">
        <v>114</v>
      </c>
      <c r="C306" s="400"/>
      <c r="D306" s="406"/>
      <c r="E306" s="402"/>
      <c r="F306" s="402"/>
    </row>
    <row r="307" spans="1:6" ht="15.5">
      <c r="A307" s="423" t="s">
        <v>520</v>
      </c>
      <c r="B307" s="424" t="s">
        <v>521</v>
      </c>
      <c r="C307" s="400" t="s">
        <v>4</v>
      </c>
      <c r="D307" s="406">
        <f>7.95*1.1*3</f>
        <v>26.235000000000003</v>
      </c>
      <c r="E307" s="402"/>
      <c r="F307" s="402">
        <f>D307*E307</f>
        <v>0</v>
      </c>
    </row>
    <row r="308" spans="1:6" ht="15.5">
      <c r="A308" s="423" t="s">
        <v>520</v>
      </c>
      <c r="B308" s="424" t="s">
        <v>626</v>
      </c>
      <c r="C308" s="400" t="s">
        <v>9</v>
      </c>
      <c r="D308" s="406">
        <v>3</v>
      </c>
      <c r="E308" s="402"/>
      <c r="F308" s="402">
        <f>D308*E308</f>
        <v>0</v>
      </c>
    </row>
    <row r="309" spans="1:6" ht="15.5">
      <c r="A309" s="423" t="s">
        <v>520</v>
      </c>
      <c r="B309" s="424" t="s">
        <v>523</v>
      </c>
      <c r="C309" s="400" t="s">
        <v>7</v>
      </c>
      <c r="D309" s="406">
        <f>6*3</f>
        <v>18</v>
      </c>
      <c r="E309" s="402"/>
      <c r="F309" s="402">
        <f>D309*E309</f>
        <v>0</v>
      </c>
    </row>
    <row r="310" spans="1:6" ht="15.5">
      <c r="A310" s="423" t="s">
        <v>627</v>
      </c>
      <c r="B310" s="424" t="s">
        <v>628</v>
      </c>
      <c r="C310" s="400" t="s">
        <v>9</v>
      </c>
      <c r="D310" s="406">
        <v>0</v>
      </c>
      <c r="E310" s="402"/>
      <c r="F310" s="402">
        <f>D310*E310</f>
        <v>0</v>
      </c>
    </row>
    <row r="311" spans="1:6" ht="16" thickBot="1">
      <c r="A311" s="423" t="s">
        <v>524</v>
      </c>
      <c r="B311" s="424" t="s">
        <v>525</v>
      </c>
      <c r="C311" s="400" t="s">
        <v>9</v>
      </c>
      <c r="D311" s="406">
        <v>4</v>
      </c>
      <c r="E311" s="402"/>
      <c r="F311" s="402">
        <f>D311*E311</f>
        <v>0</v>
      </c>
    </row>
    <row r="312" spans="1:6" ht="17.399999999999999" customHeight="1" thickBot="1">
      <c r="A312" s="408"/>
      <c r="B312" s="502" t="s">
        <v>115</v>
      </c>
      <c r="C312" s="393"/>
      <c r="D312" s="394"/>
      <c r="E312" s="411"/>
      <c r="F312" s="411">
        <f>SUM(F218:F311)</f>
        <v>0</v>
      </c>
    </row>
    <row r="313" spans="1:6" ht="16" thickBot="1">
      <c r="A313" s="408"/>
      <c r="B313" s="409" t="s">
        <v>526</v>
      </c>
      <c r="C313" s="393"/>
      <c r="D313" s="394"/>
      <c r="E313" s="411"/>
      <c r="F313" s="411"/>
    </row>
    <row r="314" spans="1:6" s="433" customFormat="1" ht="15.5">
      <c r="A314" s="440">
        <v>3</v>
      </c>
      <c r="B314" s="441" t="s">
        <v>527</v>
      </c>
      <c r="C314" s="442"/>
      <c r="D314" s="428"/>
      <c r="E314" s="407"/>
      <c r="F314" s="407"/>
    </row>
    <row r="315" spans="1:6" ht="15.5">
      <c r="A315" s="423" t="s">
        <v>116</v>
      </c>
      <c r="B315" s="424" t="s">
        <v>117</v>
      </c>
      <c r="C315" s="400"/>
      <c r="D315" s="400"/>
      <c r="E315" s="402"/>
      <c r="F315" s="402"/>
    </row>
    <row r="316" spans="1:6" ht="15.5">
      <c r="A316" s="404" t="s">
        <v>118</v>
      </c>
      <c r="B316" s="405" t="s">
        <v>528</v>
      </c>
      <c r="C316" s="400" t="s">
        <v>529</v>
      </c>
      <c r="D316" s="400">
        <v>1</v>
      </c>
      <c r="E316" s="443"/>
      <c r="F316" s="402">
        <f t="shared" ref="F316:F323" si="7">D316*E316</f>
        <v>0</v>
      </c>
    </row>
    <row r="317" spans="1:6" ht="15.5">
      <c r="A317" s="404" t="s">
        <v>119</v>
      </c>
      <c r="B317" s="405" t="s">
        <v>120</v>
      </c>
      <c r="C317" s="400" t="s">
        <v>10</v>
      </c>
      <c r="D317" s="400">
        <f>(12*31.25)/100</f>
        <v>3.75</v>
      </c>
      <c r="E317" s="443"/>
      <c r="F317" s="402">
        <f t="shared" si="7"/>
        <v>0</v>
      </c>
    </row>
    <row r="318" spans="1:6" ht="15.5" hidden="1">
      <c r="A318" s="404" t="s">
        <v>121</v>
      </c>
      <c r="B318" s="405" t="s">
        <v>530</v>
      </c>
      <c r="C318" s="400" t="s">
        <v>7</v>
      </c>
      <c r="D318" s="400"/>
      <c r="E318" s="444"/>
      <c r="F318" s="402">
        <f t="shared" si="7"/>
        <v>0</v>
      </c>
    </row>
    <row r="319" spans="1:6" ht="15.5" hidden="1">
      <c r="A319" s="404" t="s">
        <v>119</v>
      </c>
      <c r="B319" s="405" t="s">
        <v>531</v>
      </c>
      <c r="C319" s="400" t="s">
        <v>7</v>
      </c>
      <c r="D319" s="400"/>
      <c r="E319" s="444"/>
      <c r="F319" s="402">
        <f t="shared" si="7"/>
        <v>0</v>
      </c>
    </row>
    <row r="320" spans="1:6" ht="15.5" hidden="1">
      <c r="A320" s="404" t="s">
        <v>532</v>
      </c>
      <c r="B320" s="405" t="s">
        <v>533</v>
      </c>
      <c r="C320" s="400" t="s">
        <v>7</v>
      </c>
      <c r="D320" s="400"/>
      <c r="E320" s="444"/>
      <c r="F320" s="402">
        <f t="shared" si="7"/>
        <v>0</v>
      </c>
    </row>
    <row r="321" spans="1:6" ht="15.5" hidden="1">
      <c r="A321" s="404" t="s">
        <v>534</v>
      </c>
      <c r="B321" s="405" t="s">
        <v>535</v>
      </c>
      <c r="C321" s="400" t="s">
        <v>7</v>
      </c>
      <c r="D321" s="400"/>
      <c r="E321" s="444"/>
      <c r="F321" s="402">
        <f t="shared" si="7"/>
        <v>0</v>
      </c>
    </row>
    <row r="322" spans="1:6" ht="15.5" hidden="1">
      <c r="A322" s="404" t="s">
        <v>536</v>
      </c>
      <c r="B322" s="405" t="s">
        <v>537</v>
      </c>
      <c r="C322" s="400" t="s">
        <v>7</v>
      </c>
      <c r="D322" s="400"/>
      <c r="E322" s="444"/>
      <c r="F322" s="402">
        <f t="shared" si="7"/>
        <v>0</v>
      </c>
    </row>
    <row r="323" spans="1:6" ht="16" thickBot="1">
      <c r="A323" s="404" t="s">
        <v>538</v>
      </c>
      <c r="B323" s="405" t="s">
        <v>122</v>
      </c>
      <c r="C323" s="400" t="s">
        <v>9</v>
      </c>
      <c r="D323" s="400">
        <v>24</v>
      </c>
      <c r="E323" s="402"/>
      <c r="F323" s="402">
        <f t="shared" si="7"/>
        <v>0</v>
      </c>
    </row>
    <row r="324" spans="1:6" ht="16" thickBot="1">
      <c r="A324" s="445"/>
      <c r="B324" s="409" t="s">
        <v>540</v>
      </c>
      <c r="C324" s="446"/>
      <c r="D324" s="447"/>
      <c r="E324" s="448"/>
      <c r="F324" s="411">
        <f>SUM(F316:F323)</f>
        <v>0</v>
      </c>
    </row>
    <row r="325" spans="1:6" ht="15.5">
      <c r="A325" s="449">
        <v>4</v>
      </c>
      <c r="B325" s="429" t="s">
        <v>541</v>
      </c>
      <c r="C325" s="420"/>
      <c r="D325" s="406"/>
      <c r="E325" s="403"/>
      <c r="F325" s="402"/>
    </row>
    <row r="326" spans="1:6" ht="15.5">
      <c r="A326" s="423" t="s">
        <v>123</v>
      </c>
      <c r="B326" s="424" t="s">
        <v>43</v>
      </c>
      <c r="C326" s="400"/>
      <c r="D326" s="406"/>
      <c r="E326" s="402"/>
      <c r="F326" s="402"/>
    </row>
    <row r="327" spans="1:6" ht="15.5">
      <c r="A327" s="423" t="s">
        <v>124</v>
      </c>
      <c r="B327" s="429" t="s">
        <v>44</v>
      </c>
      <c r="C327" s="400"/>
      <c r="D327" s="406"/>
      <c r="E327" s="402"/>
      <c r="F327" s="402"/>
    </row>
    <row r="328" spans="1:6" ht="15.5">
      <c r="A328" s="423" t="s">
        <v>542</v>
      </c>
      <c r="B328" s="424" t="s">
        <v>706</v>
      </c>
      <c r="C328" s="400" t="s">
        <v>4</v>
      </c>
      <c r="D328" s="406">
        <f>12*32.25</f>
        <v>387</v>
      </c>
      <c r="E328" s="402"/>
      <c r="F328" s="402">
        <f>D328*E328</f>
        <v>0</v>
      </c>
    </row>
    <row r="329" spans="1:6" ht="15.5">
      <c r="A329" s="423" t="s">
        <v>125</v>
      </c>
      <c r="B329" s="429" t="s">
        <v>126</v>
      </c>
      <c r="C329" s="400"/>
      <c r="D329" s="406"/>
      <c r="E329" s="402"/>
      <c r="F329" s="402"/>
    </row>
    <row r="330" spans="1:6" ht="15.5">
      <c r="A330" s="423" t="s">
        <v>127</v>
      </c>
      <c r="B330" s="424" t="s">
        <v>707</v>
      </c>
      <c r="C330" s="400" t="s">
        <v>7</v>
      </c>
      <c r="D330" s="406">
        <v>32.25</v>
      </c>
      <c r="E330" s="402"/>
      <c r="F330" s="402">
        <f>D330*E330</f>
        <v>0</v>
      </c>
    </row>
    <row r="331" spans="1:6" ht="15.5">
      <c r="A331" s="423" t="s">
        <v>246</v>
      </c>
      <c r="B331" s="429" t="s">
        <v>130</v>
      </c>
      <c r="C331" s="414"/>
      <c r="D331" s="406"/>
      <c r="E331" s="431"/>
      <c r="F331" s="402"/>
    </row>
    <row r="332" spans="1:6" ht="16" thickBot="1">
      <c r="A332" s="434" t="s">
        <v>247</v>
      </c>
      <c r="B332" s="424" t="s">
        <v>629</v>
      </c>
      <c r="C332" s="436" t="s">
        <v>4</v>
      </c>
      <c r="D332" s="406">
        <f>(2*32.25*0.4)+(12*0.6)</f>
        <v>33</v>
      </c>
      <c r="E332" s="451"/>
      <c r="F332" s="402">
        <f>D332*E332</f>
        <v>0</v>
      </c>
    </row>
    <row r="333" spans="1:6" ht="16" thickBot="1">
      <c r="A333" s="445"/>
      <c r="B333" s="409" t="s">
        <v>545</v>
      </c>
      <c r="C333" s="393"/>
      <c r="D333" s="394"/>
      <c r="E333" s="411"/>
      <c r="F333" s="411">
        <f>SUM(F328:F332)</f>
        <v>0</v>
      </c>
    </row>
    <row r="334" spans="1:6" ht="15.5">
      <c r="A334" s="412">
        <v>5</v>
      </c>
      <c r="B334" s="453" t="s">
        <v>546</v>
      </c>
      <c r="C334" s="400"/>
      <c r="D334" s="406"/>
      <c r="E334" s="402"/>
      <c r="F334" s="402"/>
    </row>
    <row r="335" spans="1:6" ht="15.5">
      <c r="A335" s="405" t="s">
        <v>49</v>
      </c>
      <c r="B335" s="453" t="s">
        <v>51</v>
      </c>
      <c r="C335" s="400"/>
      <c r="D335" s="406"/>
      <c r="E335" s="402"/>
      <c r="F335" s="402"/>
    </row>
    <row r="336" spans="1:6" ht="16" thickBot="1">
      <c r="A336" s="424" t="s">
        <v>50</v>
      </c>
      <c r="B336" s="454" t="s">
        <v>547</v>
      </c>
      <c r="C336" s="400" t="s">
        <v>131</v>
      </c>
      <c r="D336" s="406">
        <v>1</v>
      </c>
      <c r="E336" s="402"/>
      <c r="F336" s="402">
        <f>D336*E336</f>
        <v>0</v>
      </c>
    </row>
    <row r="337" spans="1:6" ht="16" thickBot="1">
      <c r="A337" s="445"/>
      <c r="B337" s="494" t="s">
        <v>548</v>
      </c>
      <c r="C337" s="393"/>
      <c r="D337" s="394"/>
      <c r="E337" s="411"/>
      <c r="F337" s="411">
        <f>F336</f>
        <v>0</v>
      </c>
    </row>
    <row r="338" spans="1:6" ht="15.5">
      <c r="A338" s="404">
        <v>6</v>
      </c>
      <c r="B338" s="455" t="s">
        <v>549</v>
      </c>
      <c r="C338" s="456"/>
      <c r="D338" s="415"/>
      <c r="E338" s="416"/>
      <c r="F338" s="402"/>
    </row>
    <row r="339" spans="1:6" ht="15.5" hidden="1">
      <c r="A339" s="457" t="s">
        <v>328</v>
      </c>
      <c r="B339" s="453" t="s">
        <v>550</v>
      </c>
      <c r="C339" s="414"/>
      <c r="D339" s="415"/>
      <c r="E339" s="431"/>
      <c r="F339" s="402"/>
    </row>
    <row r="340" spans="1:6" ht="15.5" hidden="1">
      <c r="A340" s="457" t="s">
        <v>329</v>
      </c>
      <c r="B340" s="450" t="s">
        <v>630</v>
      </c>
      <c r="C340" s="400" t="s">
        <v>9</v>
      </c>
      <c r="D340" s="406">
        <v>0</v>
      </c>
      <c r="E340" s="400"/>
      <c r="F340" s="402">
        <f>D340*E340</f>
        <v>0</v>
      </c>
    </row>
    <row r="341" spans="1:6" ht="15.5" hidden="1">
      <c r="A341" s="457" t="s">
        <v>402</v>
      </c>
      <c r="B341" s="405" t="s">
        <v>552</v>
      </c>
      <c r="C341" s="400"/>
      <c r="D341" s="406"/>
      <c r="E341" s="402"/>
      <c r="F341" s="402">
        <f>D341*E341</f>
        <v>0</v>
      </c>
    </row>
    <row r="342" spans="1:6" ht="15.5" hidden="1">
      <c r="A342" s="457" t="s">
        <v>553</v>
      </c>
      <c r="B342" s="405" t="s">
        <v>554</v>
      </c>
      <c r="C342" s="400" t="s">
        <v>9</v>
      </c>
      <c r="D342" s="406">
        <v>0</v>
      </c>
      <c r="E342" s="402"/>
      <c r="F342" s="402">
        <f>D342*E342</f>
        <v>0</v>
      </c>
    </row>
    <row r="343" spans="1:6" ht="15.5" hidden="1">
      <c r="A343" s="457" t="s">
        <v>555</v>
      </c>
      <c r="B343" s="405" t="s">
        <v>259</v>
      </c>
      <c r="C343" s="400" t="s">
        <v>9</v>
      </c>
      <c r="D343" s="406">
        <v>0</v>
      </c>
      <c r="E343" s="402"/>
      <c r="F343" s="402">
        <f>D343*E343</f>
        <v>0</v>
      </c>
    </row>
    <row r="344" spans="1:6" ht="15.5">
      <c r="A344" s="457" t="s">
        <v>403</v>
      </c>
      <c r="B344" s="453" t="s">
        <v>556</v>
      </c>
      <c r="C344" s="414"/>
      <c r="D344" s="415"/>
      <c r="E344" s="431"/>
      <c r="F344" s="402"/>
    </row>
    <row r="345" spans="1:6" s="4" customFormat="1" ht="15.5">
      <c r="A345" s="15" t="s">
        <v>598</v>
      </c>
      <c r="B345" s="47" t="s">
        <v>424</v>
      </c>
      <c r="C345" s="12"/>
      <c r="D345" s="17"/>
      <c r="E345" s="201"/>
      <c r="F345" s="241"/>
    </row>
    <row r="346" spans="1:6" s="367" customFormat="1" ht="15.5">
      <c r="A346" s="15" t="s">
        <v>599</v>
      </c>
      <c r="B346" s="48" t="s">
        <v>425</v>
      </c>
      <c r="C346" s="363" t="s">
        <v>9</v>
      </c>
      <c r="D346" s="364">
        <v>2</v>
      </c>
      <c r="E346" s="365"/>
      <c r="F346" s="366">
        <f>D346*E346</f>
        <v>0</v>
      </c>
    </row>
    <row r="347" spans="1:6" s="367" customFormat="1" ht="15.5">
      <c r="A347" s="15" t="s">
        <v>599</v>
      </c>
      <c r="B347" s="368" t="s">
        <v>426</v>
      </c>
      <c r="C347" s="363" t="s">
        <v>7</v>
      </c>
      <c r="D347" s="364">
        <f>1.1*8</f>
        <v>8.8000000000000007</v>
      </c>
      <c r="E347" s="365"/>
      <c r="F347" s="366">
        <f>D347*E347</f>
        <v>0</v>
      </c>
    </row>
    <row r="348" spans="1:6" s="367" customFormat="1" ht="15.5">
      <c r="A348" s="15" t="s">
        <v>601</v>
      </c>
      <c r="B348" s="362" t="s">
        <v>427</v>
      </c>
      <c r="C348" s="363"/>
      <c r="D348" s="364"/>
      <c r="E348" s="365"/>
      <c r="F348" s="366"/>
    </row>
    <row r="349" spans="1:6" s="367" customFormat="1" ht="16" thickBot="1">
      <c r="A349" s="15" t="s">
        <v>602</v>
      </c>
      <c r="B349" s="368" t="s">
        <v>428</v>
      </c>
      <c r="C349" s="363" t="s">
        <v>4</v>
      </c>
      <c r="D349" s="364">
        <f>1.5*1.1*2</f>
        <v>3.3000000000000003</v>
      </c>
      <c r="E349" s="365"/>
      <c r="F349" s="366">
        <f>D349*E349</f>
        <v>0</v>
      </c>
    </row>
    <row r="350" spans="1:6" ht="16" thickBot="1">
      <c r="A350" s="458"/>
      <c r="B350" s="495" t="s">
        <v>562</v>
      </c>
      <c r="C350" s="393"/>
      <c r="D350" s="394"/>
      <c r="E350" s="411"/>
      <c r="F350" s="411">
        <f>SUM(F340:F349)</f>
        <v>0</v>
      </c>
    </row>
    <row r="351" spans="1:6" ht="15.5">
      <c r="A351" s="449">
        <v>7</v>
      </c>
      <c r="B351" s="429" t="s">
        <v>563</v>
      </c>
      <c r="C351" s="459"/>
      <c r="D351" s="460"/>
      <c r="E351" s="403"/>
      <c r="F351" s="402"/>
    </row>
    <row r="352" spans="1:6" ht="15.5" hidden="1">
      <c r="A352" s="450" t="s">
        <v>132</v>
      </c>
      <c r="B352" s="424" t="s">
        <v>564</v>
      </c>
      <c r="C352" s="400" t="s">
        <v>7</v>
      </c>
      <c r="D352" s="406">
        <v>0</v>
      </c>
      <c r="E352" s="402"/>
      <c r="F352" s="402">
        <f>D352*E352</f>
        <v>0</v>
      </c>
    </row>
    <row r="353" spans="1:6" ht="15.5" hidden="1">
      <c r="A353" s="450" t="s">
        <v>133</v>
      </c>
      <c r="B353" s="424" t="s">
        <v>565</v>
      </c>
      <c r="C353" s="400" t="s">
        <v>7</v>
      </c>
      <c r="D353" s="406">
        <v>0</v>
      </c>
      <c r="E353" s="402"/>
      <c r="F353" s="402">
        <f>D353*E353</f>
        <v>0</v>
      </c>
    </row>
    <row r="354" spans="1:6" ht="15.5">
      <c r="A354" s="450" t="s">
        <v>408</v>
      </c>
      <c r="B354" s="424" t="s">
        <v>566</v>
      </c>
      <c r="C354" s="400"/>
      <c r="D354" s="406"/>
      <c r="E354" s="402"/>
      <c r="F354" s="402"/>
    </row>
    <row r="355" spans="1:6" ht="15.5">
      <c r="A355" s="450"/>
      <c r="B355" s="424" t="s">
        <v>567</v>
      </c>
      <c r="C355" s="400" t="s">
        <v>4</v>
      </c>
      <c r="D355" s="406">
        <f>32.25*11.45*0</f>
        <v>0</v>
      </c>
      <c r="E355" s="402"/>
      <c r="F355" s="402">
        <f>D355*E355</f>
        <v>0</v>
      </c>
    </row>
    <row r="356" spans="1:6" ht="16" thickBot="1">
      <c r="A356" s="450"/>
      <c r="B356" s="424" t="s">
        <v>631</v>
      </c>
      <c r="C356" s="400" t="s">
        <v>4</v>
      </c>
      <c r="D356" s="406">
        <v>369.26</v>
      </c>
      <c r="E356" s="402"/>
      <c r="F356" s="402">
        <f>D356*E356</f>
        <v>0</v>
      </c>
    </row>
    <row r="357" spans="1:6" ht="16" thickBot="1">
      <c r="A357" s="445"/>
      <c r="B357" s="494" t="s">
        <v>569</v>
      </c>
      <c r="C357" s="393"/>
      <c r="D357" s="394"/>
      <c r="E357" s="448"/>
      <c r="F357" s="411">
        <f>SUM(F352:F356)</f>
        <v>0</v>
      </c>
    </row>
    <row r="358" spans="1:6" ht="21.65" customHeight="1">
      <c r="A358" s="412">
        <v>8</v>
      </c>
      <c r="B358" s="461" t="s">
        <v>632</v>
      </c>
      <c r="C358" s="456"/>
      <c r="D358" s="415"/>
      <c r="E358" s="416"/>
      <c r="F358" s="402"/>
    </row>
    <row r="359" spans="1:6" ht="15.5">
      <c r="A359" s="404" t="s">
        <v>335</v>
      </c>
      <c r="B359" s="461" t="s">
        <v>134</v>
      </c>
      <c r="C359" s="400"/>
      <c r="D359" s="406"/>
      <c r="E359" s="402"/>
      <c r="F359" s="402"/>
    </row>
    <row r="360" spans="1:6" ht="15.5">
      <c r="A360" s="404" t="s">
        <v>337</v>
      </c>
      <c r="B360" s="405" t="s">
        <v>646</v>
      </c>
      <c r="C360" s="400" t="s">
        <v>529</v>
      </c>
      <c r="D360" s="406">
        <v>1</v>
      </c>
      <c r="E360" s="402"/>
      <c r="F360" s="402">
        <f>D360*E360</f>
        <v>0</v>
      </c>
    </row>
    <row r="361" spans="1:6" ht="15.5">
      <c r="A361" s="404" t="s">
        <v>337</v>
      </c>
      <c r="B361" s="405" t="s">
        <v>633</v>
      </c>
      <c r="C361" s="400" t="s">
        <v>9</v>
      </c>
      <c r="D361" s="406">
        <v>3</v>
      </c>
      <c r="E361" s="402"/>
      <c r="F361" s="402">
        <f>D361*E361</f>
        <v>0</v>
      </c>
    </row>
    <row r="362" spans="1:6" ht="15.5">
      <c r="A362" s="404" t="s">
        <v>572</v>
      </c>
      <c r="B362" s="405" t="s">
        <v>634</v>
      </c>
      <c r="C362" s="400" t="s">
        <v>9</v>
      </c>
      <c r="D362" s="406">
        <v>2</v>
      </c>
      <c r="E362" s="402"/>
      <c r="F362" s="402">
        <f>D362*E362</f>
        <v>0</v>
      </c>
    </row>
    <row r="363" spans="1:6" ht="15.5">
      <c r="A363" s="404" t="s">
        <v>574</v>
      </c>
      <c r="B363" s="461" t="s">
        <v>135</v>
      </c>
      <c r="C363" s="400"/>
      <c r="D363" s="406"/>
      <c r="E363" s="402"/>
      <c r="F363" s="402"/>
    </row>
    <row r="364" spans="1:6" ht="15.5">
      <c r="A364" s="404" t="s">
        <v>575</v>
      </c>
      <c r="B364" s="405" t="s">
        <v>576</v>
      </c>
      <c r="C364" s="400" t="s">
        <v>9</v>
      </c>
      <c r="D364" s="400">
        <v>1</v>
      </c>
      <c r="E364" s="402"/>
      <c r="F364" s="402">
        <f>D364*E364</f>
        <v>0</v>
      </c>
    </row>
    <row r="365" spans="1:6" ht="15.5">
      <c r="A365" s="404" t="s">
        <v>577</v>
      </c>
      <c r="B365" s="405" t="s">
        <v>370</v>
      </c>
      <c r="C365" s="400" t="s">
        <v>4</v>
      </c>
      <c r="D365" s="400">
        <v>3</v>
      </c>
      <c r="E365" s="402"/>
      <c r="F365" s="402">
        <f>D365*E365</f>
        <v>0</v>
      </c>
    </row>
    <row r="366" spans="1:6" ht="15.5">
      <c r="A366" s="405" t="s">
        <v>578</v>
      </c>
      <c r="B366" s="399" t="s">
        <v>635</v>
      </c>
      <c r="C366" s="400"/>
      <c r="D366" s="400"/>
      <c r="E366" s="402"/>
      <c r="F366" s="402"/>
    </row>
    <row r="367" spans="1:6" ht="15.5">
      <c r="A367" s="405" t="s">
        <v>580</v>
      </c>
      <c r="B367" s="405" t="s">
        <v>581</v>
      </c>
      <c r="C367" s="400"/>
      <c r="D367" s="400"/>
      <c r="E367" s="402"/>
      <c r="F367" s="402"/>
    </row>
    <row r="368" spans="1:6" ht="15.5">
      <c r="A368" s="405" t="s">
        <v>582</v>
      </c>
      <c r="B368" s="405" t="s">
        <v>636</v>
      </c>
      <c r="C368" s="400" t="s">
        <v>9</v>
      </c>
      <c r="D368" s="400">
        <v>2</v>
      </c>
      <c r="E368" s="402"/>
      <c r="F368" s="402">
        <f>D368*E368</f>
        <v>0</v>
      </c>
    </row>
    <row r="369" spans="1:7" ht="15.5">
      <c r="A369" s="405" t="s">
        <v>584</v>
      </c>
      <c r="B369" s="399" t="s">
        <v>585</v>
      </c>
      <c r="C369" s="400"/>
      <c r="D369" s="400"/>
      <c r="E369" s="402"/>
      <c r="F369" s="402"/>
    </row>
    <row r="370" spans="1:7" ht="15.5">
      <c r="A370" s="405" t="s">
        <v>586</v>
      </c>
      <c r="B370" s="405" t="s">
        <v>587</v>
      </c>
      <c r="C370" s="400" t="s">
        <v>9</v>
      </c>
      <c r="D370" s="400">
        <v>0</v>
      </c>
      <c r="E370" s="402"/>
      <c r="F370" s="402">
        <f>D370*E370</f>
        <v>0</v>
      </c>
    </row>
    <row r="371" spans="1:7" ht="16" thickBot="1">
      <c r="A371" s="405" t="s">
        <v>588</v>
      </c>
      <c r="B371" s="405" t="s">
        <v>589</v>
      </c>
      <c r="C371" s="400" t="s">
        <v>9</v>
      </c>
      <c r="D371" s="400">
        <v>0</v>
      </c>
      <c r="E371" s="402"/>
      <c r="F371" s="402">
        <f>D371*E371</f>
        <v>0</v>
      </c>
    </row>
    <row r="372" spans="1:7" ht="16" thickBot="1">
      <c r="A372" s="445"/>
      <c r="B372" s="409" t="s">
        <v>590</v>
      </c>
      <c r="C372" s="446"/>
      <c r="D372" s="447"/>
      <c r="E372" s="448"/>
      <c r="F372" s="411">
        <f>SUM(F362:F371)</f>
        <v>0</v>
      </c>
    </row>
    <row r="373" spans="1:7" ht="15.5" hidden="1">
      <c r="A373" s="412">
        <v>9</v>
      </c>
      <c r="B373" s="399" t="s">
        <v>591</v>
      </c>
      <c r="C373" s="420"/>
      <c r="D373" s="401"/>
      <c r="E373" s="403"/>
      <c r="F373" s="402"/>
    </row>
    <row r="374" spans="1:7" ht="15.5" hidden="1">
      <c r="A374" s="412">
        <v>10</v>
      </c>
      <c r="B374" s="399" t="s">
        <v>592</v>
      </c>
      <c r="C374" s="400"/>
      <c r="D374" s="406"/>
      <c r="E374" s="402"/>
      <c r="F374" s="402"/>
    </row>
    <row r="375" spans="1:7" s="385" customFormat="1" ht="15.5" hidden="1">
      <c r="A375" s="404" t="s">
        <v>136</v>
      </c>
      <c r="B375" s="405" t="s">
        <v>593</v>
      </c>
      <c r="C375" s="400"/>
      <c r="D375" s="406"/>
      <c r="E375" s="402"/>
      <c r="F375" s="402"/>
      <c r="G375" s="382"/>
    </row>
    <row r="376" spans="1:7" ht="15.5" hidden="1">
      <c r="A376" s="404" t="s">
        <v>594</v>
      </c>
      <c r="B376" s="462" t="s">
        <v>637</v>
      </c>
      <c r="C376" s="400" t="s">
        <v>529</v>
      </c>
      <c r="D376" s="406">
        <v>0</v>
      </c>
      <c r="E376" s="402"/>
      <c r="F376" s="402">
        <f>D376*E376</f>
        <v>0</v>
      </c>
    </row>
    <row r="377" spans="1:7" s="385" customFormat="1" ht="15.5" hidden="1">
      <c r="A377" s="404" t="s">
        <v>638</v>
      </c>
      <c r="B377" s="405" t="s">
        <v>639</v>
      </c>
      <c r="C377" s="400" t="s">
        <v>9</v>
      </c>
      <c r="D377" s="406">
        <v>0</v>
      </c>
      <c r="E377" s="402"/>
      <c r="F377" s="402">
        <f>D377*E377</f>
        <v>0</v>
      </c>
      <c r="G377" s="382"/>
    </row>
    <row r="378" spans="1:7" s="385" customFormat="1" ht="15.5" hidden="1">
      <c r="A378" s="404" t="s">
        <v>640</v>
      </c>
      <c r="B378" s="405" t="s">
        <v>641</v>
      </c>
      <c r="C378" s="400" t="s">
        <v>9</v>
      </c>
      <c r="D378" s="406">
        <v>0</v>
      </c>
      <c r="E378" s="402"/>
      <c r="F378" s="402">
        <f>D378*E378</f>
        <v>0</v>
      </c>
      <c r="G378" s="382"/>
    </row>
    <row r="379" spans="1:7" s="385" customFormat="1" ht="15.5" hidden="1">
      <c r="A379" s="404" t="s">
        <v>642</v>
      </c>
      <c r="B379" s="405" t="s">
        <v>643</v>
      </c>
      <c r="C379" s="400" t="s">
        <v>9</v>
      </c>
      <c r="D379" s="406">
        <v>0</v>
      </c>
      <c r="E379" s="402"/>
      <c r="F379" s="402">
        <f>D379*E379</f>
        <v>0</v>
      </c>
      <c r="G379" s="382"/>
    </row>
    <row r="380" spans="1:7" ht="16" hidden="1" thickBot="1">
      <c r="A380" s="408"/>
      <c r="B380" s="409" t="s">
        <v>596</v>
      </c>
      <c r="C380" s="446"/>
      <c r="D380" s="447"/>
      <c r="E380" s="448"/>
      <c r="F380" s="411">
        <f>SUM(F376:F379)</f>
        <v>0</v>
      </c>
    </row>
    <row r="381" spans="1:7" ht="15.5">
      <c r="A381" s="405"/>
      <c r="B381" s="399"/>
      <c r="C381" s="400"/>
      <c r="D381" s="406"/>
      <c r="E381" s="402"/>
      <c r="F381" s="431"/>
    </row>
    <row r="382" spans="1:7" ht="15.5">
      <c r="A382" s="412">
        <v>11</v>
      </c>
      <c r="B382" s="399" t="s">
        <v>597</v>
      </c>
      <c r="C382" s="400"/>
      <c r="D382" s="415"/>
      <c r="E382" s="431"/>
      <c r="F382" s="402"/>
    </row>
    <row r="383" spans="1:7" s="385" customFormat="1" ht="15.5">
      <c r="A383" s="404" t="s">
        <v>598</v>
      </c>
      <c r="B383" s="461" t="s">
        <v>137</v>
      </c>
      <c r="C383" s="463"/>
      <c r="D383" s="460"/>
      <c r="E383" s="463"/>
      <c r="F383" s="402"/>
      <c r="G383" s="382"/>
    </row>
    <row r="384" spans="1:7" s="385" customFormat="1" ht="15.5">
      <c r="A384" s="404" t="s">
        <v>599</v>
      </c>
      <c r="B384" s="462" t="s">
        <v>59</v>
      </c>
      <c r="C384" s="400" t="s">
        <v>4</v>
      </c>
      <c r="D384" s="406">
        <f>((31.25+8.3)*2*3.5)</f>
        <v>276.84999999999997</v>
      </c>
      <c r="E384" s="402"/>
      <c r="F384" s="402">
        <f>D384*E384</f>
        <v>0</v>
      </c>
      <c r="G384" s="382"/>
    </row>
    <row r="385" spans="1:7" s="385" customFormat="1" ht="31">
      <c r="A385" s="404" t="s">
        <v>600</v>
      </c>
      <c r="B385" s="462" t="s">
        <v>138</v>
      </c>
      <c r="C385" s="400" t="s">
        <v>4</v>
      </c>
      <c r="D385" s="406">
        <f>1.5*31.25*2+8*2*1.5*2</f>
        <v>141.75</v>
      </c>
      <c r="E385" s="402"/>
      <c r="F385" s="402">
        <f>D385*E385</f>
        <v>0</v>
      </c>
      <c r="G385" s="382"/>
    </row>
    <row r="386" spans="1:7" ht="15.5">
      <c r="A386" s="404" t="s">
        <v>601</v>
      </c>
      <c r="B386" s="461" t="s">
        <v>139</v>
      </c>
      <c r="C386" s="400"/>
      <c r="D386" s="406"/>
      <c r="E386" s="402"/>
      <c r="F386" s="402"/>
    </row>
    <row r="387" spans="1:7" ht="15.5">
      <c r="A387" s="404" t="s">
        <v>602</v>
      </c>
      <c r="B387" s="462" t="s">
        <v>60</v>
      </c>
      <c r="C387" s="400" t="s">
        <v>4</v>
      </c>
      <c r="D387" s="406">
        <f>(31.25*2+8*8)*3+3.3*3*2</f>
        <v>399.3</v>
      </c>
      <c r="E387" s="402"/>
      <c r="F387" s="402">
        <f>D387*E387</f>
        <v>0</v>
      </c>
    </row>
    <row r="388" spans="1:7" ht="15.5">
      <c r="A388" s="404" t="s">
        <v>603</v>
      </c>
      <c r="B388" s="462" t="s">
        <v>604</v>
      </c>
      <c r="C388" s="400" t="s">
        <v>4</v>
      </c>
      <c r="D388" s="406">
        <f>D356</f>
        <v>369.26</v>
      </c>
      <c r="E388" s="402"/>
      <c r="F388" s="402">
        <f>D388*E388</f>
        <v>0</v>
      </c>
    </row>
    <row r="389" spans="1:7" ht="15.5">
      <c r="A389" s="404"/>
      <c r="B389" s="462"/>
      <c r="C389" s="400"/>
      <c r="D389" s="406"/>
      <c r="E389" s="402"/>
      <c r="F389" s="402"/>
    </row>
    <row r="390" spans="1:7" ht="15.5" hidden="1">
      <c r="A390" s="404" t="s">
        <v>605</v>
      </c>
      <c r="B390" s="461" t="s">
        <v>606</v>
      </c>
      <c r="C390" s="400"/>
      <c r="D390" s="400"/>
      <c r="E390" s="402"/>
      <c r="F390" s="402"/>
    </row>
    <row r="391" spans="1:7" ht="31" hidden="1">
      <c r="A391" s="404" t="s">
        <v>607</v>
      </c>
      <c r="B391" s="462" t="s">
        <v>608</v>
      </c>
      <c r="C391" s="400" t="s">
        <v>4</v>
      </c>
      <c r="D391" s="400">
        <v>0</v>
      </c>
      <c r="E391" s="402"/>
      <c r="F391" s="402">
        <f>D391*E391</f>
        <v>0</v>
      </c>
    </row>
    <row r="392" spans="1:7" ht="15.5" hidden="1">
      <c r="A392" s="404"/>
      <c r="B392" s="462"/>
      <c r="C392" s="400"/>
      <c r="D392" s="406"/>
      <c r="E392" s="402"/>
      <c r="F392" s="402"/>
    </row>
    <row r="393" spans="1:7" ht="15.5">
      <c r="A393" s="405" t="s">
        <v>609</v>
      </c>
      <c r="B393" s="461" t="s">
        <v>140</v>
      </c>
      <c r="C393" s="400"/>
      <c r="D393" s="406"/>
      <c r="E393" s="431"/>
      <c r="F393" s="402"/>
    </row>
    <row r="394" spans="1:7" ht="31">
      <c r="A394" s="405" t="s">
        <v>610</v>
      </c>
      <c r="B394" s="462" t="s">
        <v>141</v>
      </c>
      <c r="C394" s="400" t="s">
        <v>4</v>
      </c>
      <c r="D394" s="406">
        <f>3*1.65*2.2*2+0.9*2.2*2</f>
        <v>25.74</v>
      </c>
      <c r="E394" s="402"/>
      <c r="F394" s="402">
        <f>D394*E394</f>
        <v>0</v>
      </c>
    </row>
    <row r="395" spans="1:7" ht="15.5">
      <c r="A395" s="405" t="s">
        <v>611</v>
      </c>
      <c r="B395" s="461" t="s">
        <v>612</v>
      </c>
      <c r="C395" s="400"/>
      <c r="D395" s="406"/>
      <c r="E395" s="402"/>
      <c r="F395" s="402"/>
    </row>
    <row r="396" spans="1:7" ht="15.5">
      <c r="A396" s="405" t="s">
        <v>613</v>
      </c>
      <c r="B396" s="462" t="s">
        <v>644</v>
      </c>
      <c r="C396" s="400" t="s">
        <v>4</v>
      </c>
      <c r="D396" s="406">
        <f>3*6*1.4+4*3*1.4*4</f>
        <v>92.399999999999991</v>
      </c>
      <c r="E396" s="402"/>
      <c r="F396" s="402">
        <f>D396*E396</f>
        <v>0</v>
      </c>
    </row>
    <row r="397" spans="1:7" ht="16" thickBot="1">
      <c r="A397" s="405" t="s">
        <v>613</v>
      </c>
      <c r="B397" s="462" t="s">
        <v>142</v>
      </c>
      <c r="C397" s="400" t="s">
        <v>4</v>
      </c>
      <c r="D397" s="406">
        <f>3*6*1.4+4*3*1.4*4</f>
        <v>92.399999999999991</v>
      </c>
      <c r="E397" s="402"/>
      <c r="F397" s="402">
        <f>D397*E397</f>
        <v>0</v>
      </c>
    </row>
    <row r="398" spans="1:7" ht="16" thickBot="1">
      <c r="A398" s="408"/>
      <c r="B398" s="452" t="s">
        <v>615</v>
      </c>
      <c r="C398" s="446"/>
      <c r="D398" s="394"/>
      <c r="E398" s="393"/>
      <c r="F398" s="464">
        <f>SUM(F384:F397)</f>
        <v>0</v>
      </c>
    </row>
    <row r="399" spans="1:7" ht="16" thickBot="1">
      <c r="A399" s="424"/>
      <c r="B399" s="429"/>
      <c r="C399" s="466"/>
      <c r="D399" s="467"/>
      <c r="E399" s="386"/>
      <c r="F399" s="468"/>
    </row>
    <row r="400" spans="1:7" s="10" customFormat="1" ht="25" customHeight="1" thickBot="1">
      <c r="A400" s="496"/>
      <c r="B400" s="497" t="s">
        <v>652</v>
      </c>
      <c r="C400" s="498"/>
      <c r="D400" s="499"/>
      <c r="E400" s="500"/>
      <c r="F400" s="501">
        <f>F313+F324+F333+F337+F350+F357+F372+F398</f>
        <v>0</v>
      </c>
    </row>
    <row r="401" spans="1:7" ht="16" thickBot="1">
      <c r="A401" s="424"/>
      <c r="B401" s="429"/>
      <c r="C401" s="466"/>
      <c r="D401" s="467"/>
      <c r="E401" s="386"/>
      <c r="F401" s="468"/>
    </row>
    <row r="402" spans="1:7" ht="23" customHeight="1" thickBot="1">
      <c r="B402" s="552" t="s">
        <v>653</v>
      </c>
      <c r="C402" s="553"/>
      <c r="D402" s="553"/>
      <c r="E402" s="554"/>
      <c r="F402" s="386"/>
    </row>
    <row r="403" spans="1:7" ht="13.25" customHeight="1" thickBot="1">
      <c r="B403" s="387"/>
      <c r="C403" s="388"/>
      <c r="D403" s="389"/>
      <c r="E403" s="390"/>
      <c r="F403" s="390"/>
    </row>
    <row r="404" spans="1:7" s="397" customFormat="1" ht="33" customHeight="1" thickBot="1">
      <c r="A404" s="469" t="s">
        <v>438</v>
      </c>
      <c r="B404" s="470" t="s">
        <v>70</v>
      </c>
      <c r="C404" s="471" t="s">
        <v>75</v>
      </c>
      <c r="D404" s="472" t="s">
        <v>76</v>
      </c>
      <c r="E404" s="473" t="s">
        <v>77</v>
      </c>
      <c r="F404" s="471" t="s">
        <v>78</v>
      </c>
      <c r="G404" s="396"/>
    </row>
    <row r="405" spans="1:7" ht="16" hidden="1" thickBot="1">
      <c r="A405" s="398">
        <v>1</v>
      </c>
      <c r="B405" s="399" t="s">
        <v>439</v>
      </c>
      <c r="C405" s="400"/>
      <c r="D405" s="401"/>
      <c r="E405" s="402"/>
      <c r="F405" s="403"/>
    </row>
    <row r="406" spans="1:7" ht="16" hidden="1" thickBot="1">
      <c r="A406" s="412"/>
      <c r="B406" s="399" t="s">
        <v>616</v>
      </c>
      <c r="C406" s="400"/>
      <c r="D406" s="465"/>
      <c r="E406" s="402"/>
      <c r="F406" s="402"/>
    </row>
    <row r="407" spans="1:7" ht="16" hidden="1" thickBot="1">
      <c r="A407" s="404" t="s">
        <v>5</v>
      </c>
      <c r="B407" s="405" t="s">
        <v>440</v>
      </c>
      <c r="C407" s="400" t="s">
        <v>441</v>
      </c>
      <c r="D407" s="406">
        <v>0</v>
      </c>
      <c r="E407" s="407"/>
      <c r="F407" s="402">
        <f>D407*E407</f>
        <v>0</v>
      </c>
    </row>
    <row r="408" spans="1:7" ht="16" hidden="1" thickBot="1">
      <c r="A408" s="408"/>
      <c r="B408" s="409" t="s">
        <v>442</v>
      </c>
      <c r="C408" s="393"/>
      <c r="D408" s="394"/>
      <c r="E408" s="410"/>
      <c r="F408" s="411">
        <f>F407</f>
        <v>0</v>
      </c>
    </row>
    <row r="409" spans="1:7" ht="15.5">
      <c r="A409" s="412">
        <v>2</v>
      </c>
      <c r="B409" s="413" t="s">
        <v>443</v>
      </c>
      <c r="C409" s="414"/>
      <c r="D409" s="415"/>
      <c r="E409" s="416"/>
      <c r="F409" s="402"/>
    </row>
    <row r="410" spans="1:7" ht="15.5" hidden="1">
      <c r="A410" s="404" t="s">
        <v>79</v>
      </c>
      <c r="B410" s="405" t="s">
        <v>80</v>
      </c>
      <c r="C410" s="400"/>
      <c r="D410" s="406"/>
      <c r="E410" s="402"/>
      <c r="F410" s="402"/>
    </row>
    <row r="411" spans="1:7" ht="15.5" hidden="1">
      <c r="A411" s="404" t="s">
        <v>81</v>
      </c>
      <c r="B411" s="405" t="s">
        <v>444</v>
      </c>
      <c r="C411" s="400" t="s">
        <v>10</v>
      </c>
      <c r="D411" s="406">
        <v>0</v>
      </c>
      <c r="E411" s="402"/>
      <c r="F411" s="402">
        <f>D411*E411</f>
        <v>0</v>
      </c>
    </row>
    <row r="412" spans="1:7" ht="17.399999999999999" hidden="1" customHeight="1">
      <c r="A412" s="404" t="s">
        <v>82</v>
      </c>
      <c r="B412" s="405" t="s">
        <v>83</v>
      </c>
      <c r="C412" s="400" t="s">
        <v>10</v>
      </c>
      <c r="D412" s="406">
        <v>0</v>
      </c>
      <c r="E412" s="402"/>
      <c r="F412" s="402">
        <f>D412*E412</f>
        <v>0</v>
      </c>
    </row>
    <row r="413" spans="1:7" ht="17.399999999999999" hidden="1" customHeight="1">
      <c r="A413" s="404" t="s">
        <v>84</v>
      </c>
      <c r="B413" s="405" t="s">
        <v>85</v>
      </c>
      <c r="C413" s="400" t="s">
        <v>10</v>
      </c>
      <c r="D413" s="406">
        <v>0</v>
      </c>
      <c r="E413" s="402"/>
      <c r="F413" s="402">
        <f>D413*E413</f>
        <v>0</v>
      </c>
    </row>
    <row r="414" spans="1:7" ht="17.399999999999999" hidden="1" customHeight="1">
      <c r="A414" s="408"/>
      <c r="B414" s="417" t="s">
        <v>445</v>
      </c>
      <c r="C414" s="393"/>
      <c r="D414" s="394"/>
      <c r="E414" s="411"/>
      <c r="F414" s="411">
        <f>SUM(F411:F413)</f>
        <v>0</v>
      </c>
    </row>
    <row r="415" spans="1:7" ht="17.399999999999999" hidden="1" customHeight="1">
      <c r="A415" s="418" t="s">
        <v>16</v>
      </c>
      <c r="B415" s="419" t="s">
        <v>294</v>
      </c>
      <c r="C415" s="420"/>
      <c r="D415" s="401"/>
      <c r="E415" s="403"/>
      <c r="F415" s="402"/>
    </row>
    <row r="416" spans="1:7" ht="17.399999999999999" hidden="1" customHeight="1">
      <c r="A416" s="421" t="s">
        <v>17</v>
      </c>
      <c r="B416" s="422" t="s">
        <v>446</v>
      </c>
      <c r="C416" s="400"/>
      <c r="D416" s="406"/>
      <c r="E416" s="402"/>
      <c r="F416" s="402"/>
    </row>
    <row r="417" spans="1:7" ht="17.399999999999999" hidden="1" customHeight="1">
      <c r="A417" s="423" t="s">
        <v>86</v>
      </c>
      <c r="B417" s="424" t="s">
        <v>87</v>
      </c>
      <c r="C417" s="400" t="s">
        <v>10</v>
      </c>
      <c r="D417" s="406">
        <v>0</v>
      </c>
      <c r="E417" s="402"/>
      <c r="F417" s="402">
        <f>D417*E417</f>
        <v>0</v>
      </c>
    </row>
    <row r="418" spans="1:7" ht="17.399999999999999" hidden="1" customHeight="1">
      <c r="A418" s="423" t="s">
        <v>88</v>
      </c>
      <c r="B418" s="424" t="s">
        <v>617</v>
      </c>
      <c r="C418" s="400"/>
      <c r="D418" s="406"/>
      <c r="E418" s="402"/>
      <c r="F418" s="402"/>
    </row>
    <row r="419" spans="1:7" ht="17.399999999999999" hidden="1" customHeight="1">
      <c r="A419" s="423" t="s">
        <v>190</v>
      </c>
      <c r="B419" s="424" t="s">
        <v>20</v>
      </c>
      <c r="C419" s="400" t="s">
        <v>10</v>
      </c>
      <c r="D419" s="406">
        <v>0</v>
      </c>
      <c r="E419" s="402"/>
      <c r="F419" s="402">
        <f>D419*E419</f>
        <v>0</v>
      </c>
    </row>
    <row r="420" spans="1:7" ht="17.399999999999999" hidden="1" customHeight="1">
      <c r="A420" s="423" t="s">
        <v>448</v>
      </c>
      <c r="B420" s="424" t="s">
        <v>449</v>
      </c>
      <c r="C420" s="400" t="s">
        <v>23</v>
      </c>
      <c r="D420" s="406">
        <f>D419*40</f>
        <v>0</v>
      </c>
      <c r="E420" s="402"/>
      <c r="F420" s="402">
        <f>D420*E420</f>
        <v>0</v>
      </c>
    </row>
    <row r="421" spans="1:7" ht="17.399999999999999" hidden="1" customHeight="1">
      <c r="A421" s="423" t="s">
        <v>450</v>
      </c>
      <c r="B421" s="424" t="s">
        <v>451</v>
      </c>
      <c r="C421" s="400" t="s">
        <v>4</v>
      </c>
      <c r="D421" s="406">
        <v>0</v>
      </c>
      <c r="E421" s="402"/>
      <c r="F421" s="402">
        <f>D421*E421</f>
        <v>0</v>
      </c>
    </row>
    <row r="422" spans="1:7" ht="17.399999999999999" hidden="1" customHeight="1">
      <c r="A422" s="423" t="s">
        <v>89</v>
      </c>
      <c r="B422" s="424" t="s">
        <v>618</v>
      </c>
      <c r="C422" s="400"/>
      <c r="D422" s="406"/>
      <c r="E422" s="402"/>
      <c r="F422" s="402"/>
    </row>
    <row r="423" spans="1:7" ht="17.399999999999999" hidden="1" customHeight="1">
      <c r="A423" s="423" t="s">
        <v>193</v>
      </c>
      <c r="B423" s="424" t="s">
        <v>20</v>
      </c>
      <c r="C423" s="400" t="s">
        <v>10</v>
      </c>
      <c r="D423" s="406">
        <v>0</v>
      </c>
      <c r="E423" s="402"/>
      <c r="F423" s="402">
        <f>D423*E423</f>
        <v>0</v>
      </c>
    </row>
    <row r="424" spans="1:7" ht="17.399999999999999" hidden="1" customHeight="1">
      <c r="A424" s="423" t="s">
        <v>191</v>
      </c>
      <c r="B424" s="424" t="s">
        <v>359</v>
      </c>
      <c r="C424" s="400" t="s">
        <v>23</v>
      </c>
      <c r="D424" s="406">
        <f>D423*80</f>
        <v>0</v>
      </c>
      <c r="E424" s="402"/>
      <c r="F424" s="402">
        <f>D424*E424</f>
        <v>0</v>
      </c>
    </row>
    <row r="425" spans="1:7" ht="17.399999999999999" hidden="1" customHeight="1">
      <c r="A425" s="423" t="s">
        <v>194</v>
      </c>
      <c r="B425" s="424" t="s">
        <v>21</v>
      </c>
      <c r="C425" s="400" t="s">
        <v>4</v>
      </c>
      <c r="D425" s="406">
        <f>D423*12</f>
        <v>0</v>
      </c>
      <c r="E425" s="402"/>
      <c r="F425" s="402">
        <f>D425*E425</f>
        <v>0</v>
      </c>
    </row>
    <row r="426" spans="1:7" ht="17.399999999999999" hidden="1" customHeight="1">
      <c r="A426" s="423" t="s">
        <v>90</v>
      </c>
      <c r="B426" s="424" t="s">
        <v>453</v>
      </c>
      <c r="C426" s="400"/>
      <c r="D426" s="406"/>
      <c r="E426" s="402"/>
      <c r="F426" s="402"/>
    </row>
    <row r="427" spans="1:7" ht="17.399999999999999" hidden="1" customHeight="1">
      <c r="A427" s="423" t="s">
        <v>196</v>
      </c>
      <c r="B427" s="424" t="s">
        <v>20</v>
      </c>
      <c r="C427" s="400" t="s">
        <v>10</v>
      </c>
      <c r="D427" s="406">
        <v>0</v>
      </c>
      <c r="E427" s="402"/>
      <c r="F427" s="402">
        <f>D427*E427</f>
        <v>0</v>
      </c>
    </row>
    <row r="428" spans="1:7" ht="15.5" hidden="1">
      <c r="A428" s="423" t="s">
        <v>197</v>
      </c>
      <c r="B428" s="424" t="s">
        <v>22</v>
      </c>
      <c r="C428" s="400" t="s">
        <v>23</v>
      </c>
      <c r="D428" s="406">
        <f>D427*80</f>
        <v>0</v>
      </c>
      <c r="E428" s="402"/>
      <c r="F428" s="402">
        <f>D428*E428</f>
        <v>0</v>
      </c>
    </row>
    <row r="429" spans="1:7" ht="15.5" hidden="1">
      <c r="A429" s="423" t="s">
        <v>198</v>
      </c>
      <c r="B429" s="424" t="s">
        <v>21</v>
      </c>
      <c r="C429" s="400" t="s">
        <v>4</v>
      </c>
      <c r="D429" s="406">
        <f>D427*12</f>
        <v>0</v>
      </c>
      <c r="E429" s="402"/>
      <c r="F429" s="402">
        <f>D429*E429</f>
        <v>0</v>
      </c>
    </row>
    <row r="430" spans="1:7" ht="15.5" hidden="1">
      <c r="A430" s="423" t="s">
        <v>91</v>
      </c>
      <c r="B430" s="424" t="s">
        <v>454</v>
      </c>
      <c r="C430" s="400" t="s">
        <v>4</v>
      </c>
      <c r="D430" s="406">
        <v>0</v>
      </c>
      <c r="E430" s="402"/>
      <c r="F430" s="402">
        <f>D430*E430</f>
        <v>0</v>
      </c>
    </row>
    <row r="431" spans="1:7" s="385" customFormat="1" ht="15.5">
      <c r="A431" s="423" t="s">
        <v>92</v>
      </c>
      <c r="B431" s="424" t="s">
        <v>367</v>
      </c>
      <c r="C431" s="400"/>
      <c r="D431" s="406"/>
      <c r="E431" s="402"/>
      <c r="F431" s="402"/>
      <c r="G431" s="382"/>
    </row>
    <row r="432" spans="1:7" s="385" customFormat="1" ht="15.5">
      <c r="A432" s="423" t="s">
        <v>201</v>
      </c>
      <c r="B432" s="426" t="s">
        <v>456</v>
      </c>
      <c r="C432" s="400" t="s">
        <v>4</v>
      </c>
      <c r="D432" s="406">
        <f>8*8.94*3+31.25*2+8*3.8</f>
        <v>307.45999999999998</v>
      </c>
      <c r="E432" s="402"/>
      <c r="F432" s="402">
        <f>D432*E432</f>
        <v>0</v>
      </c>
      <c r="G432" s="382"/>
    </row>
    <row r="433" spans="1:6" ht="15.5">
      <c r="A433" s="423" t="s">
        <v>457</v>
      </c>
      <c r="B433" s="426" t="s">
        <v>619</v>
      </c>
      <c r="C433" s="427" t="s">
        <v>10</v>
      </c>
      <c r="D433" s="428">
        <f>D432*0.1</f>
        <v>30.745999999999999</v>
      </c>
      <c r="E433" s="407"/>
      <c r="F433" s="402">
        <f>D433*E433</f>
        <v>0</v>
      </c>
    </row>
    <row r="434" spans="1:6" ht="15.5">
      <c r="A434" s="423" t="s">
        <v>459</v>
      </c>
      <c r="B434" s="424" t="s">
        <v>620</v>
      </c>
      <c r="C434" s="400" t="s">
        <v>23</v>
      </c>
      <c r="D434" s="406">
        <f>D432*3</f>
        <v>922.37999999999988</v>
      </c>
      <c r="E434" s="402"/>
      <c r="F434" s="402">
        <f>D434*E434</f>
        <v>0</v>
      </c>
    </row>
    <row r="435" spans="1:6" ht="15.5">
      <c r="A435" s="423" t="s">
        <v>461</v>
      </c>
      <c r="B435" s="424" t="s">
        <v>93</v>
      </c>
      <c r="C435" s="400" t="s">
        <v>4</v>
      </c>
      <c r="D435" s="406">
        <f>D432</f>
        <v>307.45999999999998</v>
      </c>
      <c r="E435" s="402"/>
      <c r="F435" s="402">
        <f>D435*E435</f>
        <v>0</v>
      </c>
    </row>
    <row r="436" spans="1:6" ht="15.5">
      <c r="A436" s="423" t="s">
        <v>94</v>
      </c>
      <c r="B436" s="429" t="s">
        <v>95</v>
      </c>
      <c r="C436" s="400"/>
      <c r="D436" s="400"/>
      <c r="E436" s="402"/>
      <c r="F436" s="402"/>
    </row>
    <row r="437" spans="1:6" ht="46.5">
      <c r="A437" s="423" t="s">
        <v>462</v>
      </c>
      <c r="B437" s="430" t="s">
        <v>463</v>
      </c>
      <c r="C437" s="400" t="s">
        <v>4</v>
      </c>
      <c r="D437" s="400">
        <f>31.25*0.44*2</f>
        <v>27.5</v>
      </c>
      <c r="E437" s="402"/>
      <c r="F437" s="402">
        <f>D437*E437</f>
        <v>0</v>
      </c>
    </row>
    <row r="438" spans="1:6" ht="15.5">
      <c r="A438" s="423" t="s">
        <v>464</v>
      </c>
      <c r="B438" s="426" t="s">
        <v>96</v>
      </c>
      <c r="C438" s="400" t="s">
        <v>10</v>
      </c>
      <c r="D438" s="400">
        <f>31.25*0.4*0.4</f>
        <v>5</v>
      </c>
      <c r="E438" s="402"/>
      <c r="F438" s="402">
        <f>D438*E438</f>
        <v>0</v>
      </c>
    </row>
    <row r="439" spans="1:6" ht="15.5">
      <c r="A439" s="423" t="s">
        <v>465</v>
      </c>
      <c r="B439" s="426" t="s">
        <v>97</v>
      </c>
      <c r="C439" s="400" t="s">
        <v>10</v>
      </c>
      <c r="D439" s="400">
        <f>31.25*0.4*0.1</f>
        <v>1.25</v>
      </c>
      <c r="E439" s="402"/>
      <c r="F439" s="402">
        <f>D439*E439</f>
        <v>0</v>
      </c>
    </row>
    <row r="440" spans="1:6" ht="15.5">
      <c r="A440" s="423" t="s">
        <v>94</v>
      </c>
      <c r="B440" s="429" t="s">
        <v>466</v>
      </c>
      <c r="C440" s="400"/>
      <c r="D440" s="400"/>
      <c r="E440" s="402"/>
      <c r="F440" s="402"/>
    </row>
    <row r="441" spans="1:6" ht="46.5">
      <c r="A441" s="423" t="s">
        <v>462</v>
      </c>
      <c r="B441" s="430" t="s">
        <v>467</v>
      </c>
      <c r="C441" s="400" t="s">
        <v>4</v>
      </c>
      <c r="D441" s="400">
        <f>31.25*1.5</f>
        <v>46.875</v>
      </c>
      <c r="E441" s="402"/>
      <c r="F441" s="402">
        <f>D441*E441</f>
        <v>0</v>
      </c>
    </row>
    <row r="442" spans="1:6" ht="21.65" customHeight="1">
      <c r="A442" s="421" t="s">
        <v>24</v>
      </c>
      <c r="B442" s="422" t="s">
        <v>468</v>
      </c>
      <c r="C442" s="414"/>
      <c r="D442" s="406"/>
      <c r="E442" s="431"/>
      <c r="F442" s="402"/>
    </row>
    <row r="443" spans="1:6" ht="15.5">
      <c r="A443" s="423" t="s">
        <v>399</v>
      </c>
      <c r="B443" s="424" t="s">
        <v>472</v>
      </c>
      <c r="C443" s="400" t="s">
        <v>4</v>
      </c>
      <c r="D443" s="406">
        <f>27*3*0.15*0</f>
        <v>0</v>
      </c>
      <c r="E443" s="402"/>
      <c r="F443" s="402">
        <f>D443*E443</f>
        <v>0</v>
      </c>
    </row>
    <row r="444" spans="1:6" ht="15.5">
      <c r="A444" s="423" t="s">
        <v>399</v>
      </c>
      <c r="B444" s="424" t="s">
        <v>621</v>
      </c>
      <c r="C444" s="400" t="s">
        <v>4</v>
      </c>
      <c r="D444" s="406">
        <f>(2*10*0.66+3*8*0.66)*0</f>
        <v>0</v>
      </c>
      <c r="E444" s="402"/>
      <c r="F444" s="402">
        <f>D444*E444</f>
        <v>0</v>
      </c>
    </row>
    <row r="445" spans="1:6" ht="15.5">
      <c r="A445" s="423" t="s">
        <v>26</v>
      </c>
      <c r="B445" s="424" t="s">
        <v>622</v>
      </c>
      <c r="C445" s="400" t="s">
        <v>4</v>
      </c>
      <c r="D445" s="406">
        <f>(31.25*3*0.44+10*2*0.44+5*8*0.44)</f>
        <v>67.650000000000006</v>
      </c>
      <c r="E445" s="402"/>
      <c r="F445" s="402">
        <f>D445*E445</f>
        <v>0</v>
      </c>
    </row>
    <row r="446" spans="1:6" ht="15.5" hidden="1">
      <c r="A446" s="423" t="s">
        <v>399</v>
      </c>
      <c r="B446" s="424" t="s">
        <v>623</v>
      </c>
      <c r="C446" s="400" t="s">
        <v>4</v>
      </c>
      <c r="D446" s="406">
        <v>0</v>
      </c>
      <c r="E446" s="402"/>
      <c r="F446" s="402">
        <f>D446*E446</f>
        <v>0</v>
      </c>
    </row>
    <row r="447" spans="1:6" ht="15.5" hidden="1">
      <c r="A447" s="423" t="s">
        <v>400</v>
      </c>
      <c r="B447" s="424" t="s">
        <v>98</v>
      </c>
      <c r="C447" s="400"/>
      <c r="D447" s="406"/>
      <c r="E447" s="402"/>
      <c r="F447" s="402"/>
    </row>
    <row r="448" spans="1:6" ht="15.5" hidden="1">
      <c r="A448" s="423" t="s">
        <v>474</v>
      </c>
      <c r="B448" s="424" t="s">
        <v>20</v>
      </c>
      <c r="C448" s="400" t="s">
        <v>10</v>
      </c>
      <c r="D448" s="406">
        <f>27*0.2*0.15*4*0</f>
        <v>0</v>
      </c>
      <c r="E448" s="402"/>
      <c r="F448" s="402">
        <f>D448*E448</f>
        <v>0</v>
      </c>
    </row>
    <row r="449" spans="1:6" ht="15.5" hidden="1">
      <c r="A449" s="423" t="s">
        <v>475</v>
      </c>
      <c r="B449" s="424" t="s">
        <v>22</v>
      </c>
      <c r="C449" s="400" t="s">
        <v>23</v>
      </c>
      <c r="D449" s="406">
        <f>D448*80</f>
        <v>0</v>
      </c>
      <c r="E449" s="402"/>
      <c r="F449" s="402">
        <f>D449*E449</f>
        <v>0</v>
      </c>
    </row>
    <row r="450" spans="1:6" ht="15.5" hidden="1">
      <c r="A450" s="423" t="s">
        <v>476</v>
      </c>
      <c r="B450" s="424" t="s">
        <v>21</v>
      </c>
      <c r="C450" s="400" t="s">
        <v>4</v>
      </c>
      <c r="D450" s="406">
        <f>D448*12</f>
        <v>0</v>
      </c>
      <c r="E450" s="402"/>
      <c r="F450" s="402">
        <f>D450*E450</f>
        <v>0</v>
      </c>
    </row>
    <row r="451" spans="1:6" ht="15.5" hidden="1">
      <c r="A451" s="423" t="s">
        <v>27</v>
      </c>
      <c r="B451" s="424" t="s">
        <v>624</v>
      </c>
      <c r="C451" s="400"/>
      <c r="D451" s="406"/>
      <c r="E451" s="402"/>
      <c r="F451" s="402"/>
    </row>
    <row r="452" spans="1:6" s="433" customFormat="1" ht="15.5" hidden="1">
      <c r="A452" s="432" t="s">
        <v>209</v>
      </c>
      <c r="B452" s="426" t="s">
        <v>20</v>
      </c>
      <c r="C452" s="427" t="s">
        <v>10</v>
      </c>
      <c r="D452" s="428">
        <v>0</v>
      </c>
      <c r="E452" s="407"/>
      <c r="F452" s="407">
        <f t="shared" ref="F452:F458" si="8">D452*E452</f>
        <v>0</v>
      </c>
    </row>
    <row r="453" spans="1:6" ht="15.5" hidden="1">
      <c r="A453" s="423" t="s">
        <v>210</v>
      </c>
      <c r="B453" s="424" t="s">
        <v>22</v>
      </c>
      <c r="C453" s="400" t="s">
        <v>23</v>
      </c>
      <c r="D453" s="406">
        <f>D452*80</f>
        <v>0</v>
      </c>
      <c r="E453" s="402"/>
      <c r="F453" s="402">
        <f t="shared" si="8"/>
        <v>0</v>
      </c>
    </row>
    <row r="454" spans="1:6" ht="15.5" hidden="1">
      <c r="A454" s="423" t="s">
        <v>211</v>
      </c>
      <c r="B454" s="424" t="s">
        <v>100</v>
      </c>
      <c r="C454" s="400" t="s">
        <v>4</v>
      </c>
      <c r="D454" s="406">
        <f>D452*2</f>
        <v>0</v>
      </c>
      <c r="E454" s="402"/>
      <c r="F454" s="402">
        <f t="shared" si="8"/>
        <v>0</v>
      </c>
    </row>
    <row r="455" spans="1:6" ht="15.5" hidden="1">
      <c r="A455" s="423" t="s">
        <v>101</v>
      </c>
      <c r="B455" s="424" t="s">
        <v>477</v>
      </c>
      <c r="C455" s="400"/>
      <c r="D455" s="406"/>
      <c r="E455" s="402"/>
      <c r="F455" s="402">
        <f t="shared" si="8"/>
        <v>0</v>
      </c>
    </row>
    <row r="456" spans="1:6" ht="15.5" hidden="1">
      <c r="A456" s="423" t="s">
        <v>478</v>
      </c>
      <c r="B456" s="424" t="s">
        <v>20</v>
      </c>
      <c r="C456" s="400" t="s">
        <v>10</v>
      </c>
      <c r="D456" s="406">
        <v>0</v>
      </c>
      <c r="E456" s="402"/>
      <c r="F456" s="402">
        <f t="shared" si="8"/>
        <v>0</v>
      </c>
    </row>
    <row r="457" spans="1:6" ht="15.5" hidden="1">
      <c r="A457" s="423" t="s">
        <v>479</v>
      </c>
      <c r="B457" s="424" t="s">
        <v>480</v>
      </c>
      <c r="C457" s="400" t="s">
        <v>23</v>
      </c>
      <c r="D457" s="406">
        <v>0</v>
      </c>
      <c r="E457" s="402"/>
      <c r="F457" s="402">
        <f t="shared" si="8"/>
        <v>0</v>
      </c>
    </row>
    <row r="458" spans="1:6" ht="15.5" hidden="1">
      <c r="A458" s="423" t="s">
        <v>481</v>
      </c>
      <c r="B458" s="424" t="s">
        <v>100</v>
      </c>
      <c r="C458" s="400" t="s">
        <v>4</v>
      </c>
      <c r="D458" s="406">
        <v>0</v>
      </c>
      <c r="E458" s="402"/>
      <c r="F458" s="402">
        <f t="shared" si="8"/>
        <v>0</v>
      </c>
    </row>
    <row r="459" spans="1:6" ht="15.5">
      <c r="A459" s="423" t="s">
        <v>28</v>
      </c>
      <c r="B459" s="424" t="s">
        <v>102</v>
      </c>
      <c r="C459" s="400"/>
      <c r="D459" s="406"/>
      <c r="E459" s="402"/>
      <c r="F459" s="402"/>
    </row>
    <row r="460" spans="1:6" ht="15.5">
      <c r="A460" s="423"/>
      <c r="B460" s="424" t="s">
        <v>483</v>
      </c>
      <c r="C460" s="400"/>
      <c r="D460" s="406"/>
      <c r="E460" s="402"/>
      <c r="F460" s="402"/>
    </row>
    <row r="461" spans="1:6" ht="15.5">
      <c r="A461" s="423" t="s">
        <v>484</v>
      </c>
      <c r="B461" s="424" t="s">
        <v>20</v>
      </c>
      <c r="C461" s="400" t="s">
        <v>10</v>
      </c>
      <c r="D461" s="406">
        <f>(12*2*0.1*0.15+10*3*0.1*0.15)</f>
        <v>0.81</v>
      </c>
      <c r="E461" s="402"/>
      <c r="F461" s="402">
        <f t="shared" ref="F461:F467" si="9">D461*E461</f>
        <v>0</v>
      </c>
    </row>
    <row r="462" spans="1:6" ht="15.5">
      <c r="A462" s="423" t="s">
        <v>485</v>
      </c>
      <c r="B462" s="424" t="s">
        <v>22</v>
      </c>
      <c r="C462" s="400" t="s">
        <v>23</v>
      </c>
      <c r="D462" s="406">
        <f>D461*80</f>
        <v>64.800000000000011</v>
      </c>
      <c r="E462" s="402"/>
      <c r="F462" s="402">
        <f t="shared" si="9"/>
        <v>0</v>
      </c>
    </row>
    <row r="463" spans="1:6" ht="15.5">
      <c r="A463" s="423" t="s">
        <v>486</v>
      </c>
      <c r="B463" s="424" t="s">
        <v>100</v>
      </c>
      <c r="C463" s="400" t="s">
        <v>4</v>
      </c>
      <c r="D463" s="406">
        <f>D461*2</f>
        <v>1.62</v>
      </c>
      <c r="E463" s="402"/>
      <c r="F463" s="402">
        <f t="shared" si="9"/>
        <v>0</v>
      </c>
    </row>
    <row r="464" spans="1:6" ht="15.5" hidden="1">
      <c r="A464" s="423" t="s">
        <v>29</v>
      </c>
      <c r="B464" s="424" t="s">
        <v>487</v>
      </c>
      <c r="C464" s="400"/>
      <c r="D464" s="406"/>
      <c r="E464" s="402"/>
      <c r="F464" s="402">
        <f t="shared" si="9"/>
        <v>0</v>
      </c>
    </row>
    <row r="465" spans="1:6" ht="15.5" hidden="1">
      <c r="A465" s="423" t="s">
        <v>213</v>
      </c>
      <c r="B465" s="424" t="s">
        <v>20</v>
      </c>
      <c r="C465" s="400" t="s">
        <v>10</v>
      </c>
      <c r="D465" s="406">
        <v>0</v>
      </c>
      <c r="E465" s="402"/>
      <c r="F465" s="402">
        <f t="shared" si="9"/>
        <v>0</v>
      </c>
    </row>
    <row r="466" spans="1:6" ht="15.5" hidden="1">
      <c r="A466" s="423" t="s">
        <v>214</v>
      </c>
      <c r="B466" s="424" t="s">
        <v>22</v>
      </c>
      <c r="C466" s="400" t="s">
        <v>23</v>
      </c>
      <c r="D466" s="406">
        <v>0</v>
      </c>
      <c r="E466" s="402"/>
      <c r="F466" s="402">
        <f t="shared" si="9"/>
        <v>0</v>
      </c>
    </row>
    <row r="467" spans="1:6" ht="16" hidden="1" thickBot="1">
      <c r="A467" s="434" t="s">
        <v>215</v>
      </c>
      <c r="B467" s="435" t="s">
        <v>100</v>
      </c>
      <c r="C467" s="436" t="s">
        <v>4</v>
      </c>
      <c r="D467" s="406">
        <v>0</v>
      </c>
      <c r="E467" s="402"/>
      <c r="F467" s="402">
        <f t="shared" si="9"/>
        <v>0</v>
      </c>
    </row>
    <row r="468" spans="1:6" ht="15.5">
      <c r="A468" s="423" t="s">
        <v>216</v>
      </c>
      <c r="B468" s="424" t="s">
        <v>33</v>
      </c>
      <c r="C468" s="400"/>
      <c r="D468" s="406"/>
      <c r="E468" s="402"/>
      <c r="F468" s="402"/>
    </row>
    <row r="469" spans="1:6" ht="15.5">
      <c r="A469" s="423" t="s">
        <v>217</v>
      </c>
      <c r="B469" s="424" t="s">
        <v>488</v>
      </c>
      <c r="C469" s="400" t="s">
        <v>4</v>
      </c>
      <c r="D469" s="406">
        <f>D445*2*1.1</f>
        <v>148.83000000000001</v>
      </c>
      <c r="E469" s="402"/>
      <c r="F469" s="402">
        <f>D469*E469</f>
        <v>0</v>
      </c>
    </row>
    <row r="470" spans="1:6" ht="15.5">
      <c r="A470" s="423" t="s">
        <v>489</v>
      </c>
      <c r="B470" s="424" t="s">
        <v>490</v>
      </c>
      <c r="C470" s="400" t="s">
        <v>4</v>
      </c>
      <c r="D470" s="406">
        <v>0</v>
      </c>
      <c r="E470" s="402"/>
      <c r="F470" s="402">
        <f>D470*E470</f>
        <v>0</v>
      </c>
    </row>
    <row r="471" spans="1:6" ht="15.5">
      <c r="A471" s="423" t="s">
        <v>491</v>
      </c>
      <c r="B471" s="424" t="s">
        <v>103</v>
      </c>
      <c r="C471" s="400"/>
      <c r="D471" s="406"/>
      <c r="E471" s="402"/>
      <c r="F471" s="402"/>
    </row>
    <row r="472" spans="1:6" ht="15.5">
      <c r="A472" s="423"/>
      <c r="B472" s="424" t="s">
        <v>492</v>
      </c>
      <c r="C472" s="400" t="s">
        <v>4</v>
      </c>
      <c r="D472" s="406">
        <v>0</v>
      </c>
      <c r="E472" s="402"/>
      <c r="F472" s="402">
        <f>D472*E472</f>
        <v>0</v>
      </c>
    </row>
    <row r="473" spans="1:6" ht="17.5">
      <c r="A473" s="423" t="s">
        <v>491</v>
      </c>
      <c r="B473" s="424" t="s">
        <v>493</v>
      </c>
      <c r="C473" s="400" t="s">
        <v>104</v>
      </c>
      <c r="D473" s="406">
        <v>0</v>
      </c>
      <c r="E473" s="402"/>
      <c r="F473" s="402">
        <f>D473*E473</f>
        <v>0</v>
      </c>
    </row>
    <row r="474" spans="1:6" ht="15.5">
      <c r="A474" s="421" t="s">
        <v>6</v>
      </c>
      <c r="B474" s="422" t="s">
        <v>34</v>
      </c>
      <c r="C474" s="400"/>
      <c r="D474" s="406"/>
      <c r="E474" s="402"/>
      <c r="F474" s="402"/>
    </row>
    <row r="475" spans="1:6" ht="15.5">
      <c r="A475" s="423" t="s">
        <v>221</v>
      </c>
      <c r="B475" s="424" t="s">
        <v>625</v>
      </c>
      <c r="C475" s="400" t="s">
        <v>9</v>
      </c>
      <c r="D475" s="406">
        <v>4</v>
      </c>
      <c r="E475" s="402"/>
      <c r="F475" s="402">
        <f>D475*E475</f>
        <v>0</v>
      </c>
    </row>
    <row r="476" spans="1:6" ht="15.5">
      <c r="A476" s="423" t="s">
        <v>221</v>
      </c>
      <c r="B476" s="424" t="s">
        <v>495</v>
      </c>
      <c r="C476" s="400" t="s">
        <v>9</v>
      </c>
      <c r="D476" s="406">
        <v>3</v>
      </c>
      <c r="E476" s="402"/>
      <c r="F476" s="402">
        <f>D476*E476</f>
        <v>0</v>
      </c>
    </row>
    <row r="477" spans="1:6" ht="15.5">
      <c r="A477" s="423" t="s">
        <v>30</v>
      </c>
      <c r="B477" s="422" t="s">
        <v>35</v>
      </c>
      <c r="C477" s="400"/>
      <c r="D477" s="406"/>
      <c r="E477" s="402"/>
      <c r="F477" s="402"/>
    </row>
    <row r="478" spans="1:6" ht="15.5">
      <c r="A478" s="423" t="s">
        <v>496</v>
      </c>
      <c r="B478" s="424" t="s">
        <v>497</v>
      </c>
      <c r="C478" s="400" t="s">
        <v>182</v>
      </c>
      <c r="D478" s="406">
        <v>1</v>
      </c>
      <c r="E478" s="402"/>
      <c r="F478" s="402">
        <f>D478*E478</f>
        <v>0</v>
      </c>
    </row>
    <row r="479" spans="1:6" ht="15.5">
      <c r="A479" s="423" t="s">
        <v>496</v>
      </c>
      <c r="B479" s="424" t="s">
        <v>105</v>
      </c>
      <c r="C479" s="400" t="s">
        <v>10</v>
      </c>
      <c r="D479" s="439">
        <v>3.87</v>
      </c>
      <c r="E479" s="402"/>
      <c r="F479" s="402">
        <f>D479*E479</f>
        <v>0</v>
      </c>
    </row>
    <row r="480" spans="1:6" ht="15.5">
      <c r="A480" s="423" t="s">
        <v>498</v>
      </c>
      <c r="B480" s="405" t="s">
        <v>499</v>
      </c>
      <c r="C480" s="400" t="s">
        <v>10</v>
      </c>
      <c r="D480" s="439">
        <v>1.718</v>
      </c>
      <c r="E480" s="402"/>
      <c r="F480" s="402">
        <f>D480*E480</f>
        <v>0</v>
      </c>
    </row>
    <row r="481" spans="1:6" ht="15.5">
      <c r="A481" s="423" t="s">
        <v>500</v>
      </c>
      <c r="B481" s="424" t="s">
        <v>87</v>
      </c>
      <c r="C481" s="400" t="s">
        <v>10</v>
      </c>
      <c r="D481" s="439">
        <v>0.96799999999999997</v>
      </c>
      <c r="E481" s="402"/>
      <c r="F481" s="402">
        <f>D481*E481</f>
        <v>0</v>
      </c>
    </row>
    <row r="482" spans="1:6" ht="15.5">
      <c r="A482" s="423" t="s">
        <v>223</v>
      </c>
      <c r="B482" s="424" t="s">
        <v>106</v>
      </c>
      <c r="C482" s="400" t="s">
        <v>4</v>
      </c>
      <c r="D482" s="439">
        <v>19.350000000000001</v>
      </c>
      <c r="E482" s="402"/>
      <c r="F482" s="402">
        <f>D482*E482</f>
        <v>0</v>
      </c>
    </row>
    <row r="483" spans="1:6" ht="15.5">
      <c r="A483" s="423" t="s">
        <v>501</v>
      </c>
      <c r="B483" s="424" t="s">
        <v>502</v>
      </c>
      <c r="C483" s="400"/>
      <c r="D483" s="439"/>
      <c r="E483" s="402"/>
      <c r="F483" s="402"/>
    </row>
    <row r="484" spans="1:6" ht="15.5">
      <c r="A484" s="423" t="s">
        <v>503</v>
      </c>
      <c r="B484" s="424" t="s">
        <v>20</v>
      </c>
      <c r="C484" s="400" t="s">
        <v>10</v>
      </c>
      <c r="D484" s="439">
        <v>1.292</v>
      </c>
      <c r="E484" s="402"/>
      <c r="F484" s="402">
        <f>D484*E484</f>
        <v>0</v>
      </c>
    </row>
    <row r="485" spans="1:6" ht="15.5">
      <c r="A485" s="423" t="s">
        <v>504</v>
      </c>
      <c r="B485" s="424" t="s">
        <v>100</v>
      </c>
      <c r="C485" s="400" t="s">
        <v>4</v>
      </c>
      <c r="D485" s="439">
        <v>2.58</v>
      </c>
      <c r="E485" s="402"/>
      <c r="F485" s="402">
        <f>D485*E485</f>
        <v>0</v>
      </c>
    </row>
    <row r="486" spans="1:6" ht="15.5">
      <c r="A486" s="423" t="s">
        <v>505</v>
      </c>
      <c r="B486" s="424" t="s">
        <v>506</v>
      </c>
      <c r="C486" s="400" t="s">
        <v>4</v>
      </c>
      <c r="D486" s="439">
        <v>7.09</v>
      </c>
      <c r="E486" s="402"/>
      <c r="F486" s="402">
        <f>D486*E486</f>
        <v>0</v>
      </c>
    </row>
    <row r="487" spans="1:6" ht="15.5">
      <c r="A487" s="423" t="s">
        <v>31</v>
      </c>
      <c r="B487" s="422" t="s">
        <v>36</v>
      </c>
      <c r="C487" s="400"/>
      <c r="D487" s="406"/>
      <c r="E487" s="402"/>
      <c r="F487" s="402"/>
    </row>
    <row r="488" spans="1:6" ht="15.5">
      <c r="A488" s="423" t="s">
        <v>507</v>
      </c>
      <c r="B488" s="424" t="s">
        <v>105</v>
      </c>
      <c r="C488" s="400" t="s">
        <v>10</v>
      </c>
      <c r="D488" s="406">
        <f>(2*2+1.2)*0.4*0.4</f>
        <v>0.83200000000000007</v>
      </c>
      <c r="E488" s="402"/>
      <c r="F488" s="402">
        <f>D488*E488</f>
        <v>0</v>
      </c>
    </row>
    <row r="489" spans="1:6" ht="15.5">
      <c r="A489" s="423" t="s">
        <v>508</v>
      </c>
      <c r="B489" s="405" t="s">
        <v>107</v>
      </c>
      <c r="C489" s="400" t="s">
        <v>10</v>
      </c>
      <c r="D489" s="406">
        <v>0</v>
      </c>
      <c r="E489" s="402"/>
      <c r="F489" s="402">
        <f>D489*E489</f>
        <v>0</v>
      </c>
    </row>
    <row r="490" spans="1:6" ht="15.5">
      <c r="A490" s="423" t="s">
        <v>509</v>
      </c>
      <c r="B490" s="424" t="s">
        <v>87</v>
      </c>
      <c r="C490" s="400" t="s">
        <v>10</v>
      </c>
      <c r="D490" s="406">
        <f>(4+1.2)*0.4*0.05</f>
        <v>0.10400000000000001</v>
      </c>
      <c r="E490" s="402"/>
      <c r="F490" s="402">
        <f>D490*E490</f>
        <v>0</v>
      </c>
    </row>
    <row r="491" spans="1:6" ht="15.5">
      <c r="A491" s="423" t="s">
        <v>510</v>
      </c>
      <c r="B491" s="424" t="s">
        <v>106</v>
      </c>
      <c r="C491" s="400" t="s">
        <v>4</v>
      </c>
      <c r="D491" s="406">
        <f>2*2*0.4</f>
        <v>1.6</v>
      </c>
      <c r="E491" s="402"/>
      <c r="F491" s="402">
        <f>D491*E491</f>
        <v>0</v>
      </c>
    </row>
    <row r="492" spans="1:6" ht="15.5">
      <c r="A492" s="423" t="s">
        <v>32</v>
      </c>
      <c r="B492" s="424" t="s">
        <v>511</v>
      </c>
      <c r="C492" s="400"/>
      <c r="D492" s="406"/>
      <c r="E492" s="402"/>
      <c r="F492" s="402"/>
    </row>
    <row r="493" spans="1:6" ht="15.5">
      <c r="A493" s="423" t="s">
        <v>512</v>
      </c>
      <c r="B493" s="424" t="s">
        <v>20</v>
      </c>
      <c r="C493" s="400" t="s">
        <v>10</v>
      </c>
      <c r="D493" s="406">
        <f>2*2.2*0.15</f>
        <v>0.66</v>
      </c>
      <c r="E493" s="402"/>
      <c r="F493" s="402">
        <f t="shared" ref="F493:F504" si="10">D493*E493</f>
        <v>0</v>
      </c>
    </row>
    <row r="494" spans="1:6" ht="15.5">
      <c r="A494" s="423" t="s">
        <v>513</v>
      </c>
      <c r="B494" s="424" t="s">
        <v>302</v>
      </c>
      <c r="C494" s="400" t="s">
        <v>23</v>
      </c>
      <c r="D494" s="406">
        <f>D493*12</f>
        <v>7.92</v>
      </c>
      <c r="E494" s="402"/>
      <c r="F494" s="402">
        <f t="shared" si="10"/>
        <v>0</v>
      </c>
    </row>
    <row r="495" spans="1:6" ht="15.5">
      <c r="A495" s="423" t="s">
        <v>514</v>
      </c>
      <c r="B495" s="424" t="s">
        <v>100</v>
      </c>
      <c r="C495" s="400" t="s">
        <v>4</v>
      </c>
      <c r="D495" s="406">
        <f>D493*2</f>
        <v>1.32</v>
      </c>
      <c r="E495" s="402"/>
      <c r="F495" s="402">
        <f t="shared" si="10"/>
        <v>0</v>
      </c>
    </row>
    <row r="496" spans="1:6" ht="15.5" hidden="1">
      <c r="A496" s="423" t="s">
        <v>108</v>
      </c>
      <c r="B496" s="422" t="s">
        <v>515</v>
      </c>
      <c r="C496" s="400"/>
      <c r="D496" s="406"/>
      <c r="E496" s="402"/>
      <c r="F496" s="402">
        <f t="shared" si="10"/>
        <v>0</v>
      </c>
    </row>
    <row r="497" spans="1:6" ht="15.5" hidden="1">
      <c r="A497" s="423"/>
      <c r="B497" s="422" t="s">
        <v>516</v>
      </c>
      <c r="C497" s="400"/>
      <c r="D497" s="406"/>
      <c r="E497" s="402"/>
      <c r="F497" s="402">
        <f t="shared" si="10"/>
        <v>0</v>
      </c>
    </row>
    <row r="498" spans="1:6" ht="15.5" hidden="1">
      <c r="A498" s="423" t="s">
        <v>109</v>
      </c>
      <c r="B498" s="424" t="s">
        <v>20</v>
      </c>
      <c r="C498" s="400" t="s">
        <v>10</v>
      </c>
      <c r="D498" s="406">
        <v>0</v>
      </c>
      <c r="E498" s="402"/>
      <c r="F498" s="402">
        <f t="shared" si="10"/>
        <v>0</v>
      </c>
    </row>
    <row r="499" spans="1:6" ht="15.5" hidden="1">
      <c r="A499" s="423" t="s">
        <v>110</v>
      </c>
      <c r="B499" s="424" t="s">
        <v>302</v>
      </c>
      <c r="C499" s="400" t="s">
        <v>23</v>
      </c>
      <c r="D499" s="406">
        <v>0</v>
      </c>
      <c r="E499" s="402"/>
      <c r="F499" s="402">
        <f t="shared" si="10"/>
        <v>0</v>
      </c>
    </row>
    <row r="500" spans="1:6" ht="15.5" hidden="1">
      <c r="A500" s="423" t="s">
        <v>111</v>
      </c>
      <c r="B500" s="424" t="s">
        <v>517</v>
      </c>
      <c r="C500" s="400" t="s">
        <v>4</v>
      </c>
      <c r="D500" s="406">
        <v>0</v>
      </c>
      <c r="E500" s="402"/>
      <c r="F500" s="402">
        <f t="shared" si="10"/>
        <v>0</v>
      </c>
    </row>
    <row r="501" spans="1:6" ht="15.5" hidden="1">
      <c r="A501" s="423" t="s">
        <v>112</v>
      </c>
      <c r="B501" s="424" t="s">
        <v>518</v>
      </c>
      <c r="C501" s="400"/>
      <c r="D501" s="406"/>
      <c r="E501" s="402"/>
      <c r="F501" s="402">
        <f t="shared" si="10"/>
        <v>0</v>
      </c>
    </row>
    <row r="502" spans="1:6" ht="15.5" hidden="1">
      <c r="A502" s="423" t="s">
        <v>401</v>
      </c>
      <c r="B502" s="424" t="s">
        <v>20</v>
      </c>
      <c r="C502" s="400" t="s">
        <v>10</v>
      </c>
      <c r="D502" s="406">
        <v>0</v>
      </c>
      <c r="E502" s="402"/>
      <c r="F502" s="402">
        <f t="shared" si="10"/>
        <v>0</v>
      </c>
    </row>
    <row r="503" spans="1:6" ht="15.5" hidden="1">
      <c r="A503" s="423" t="s">
        <v>113</v>
      </c>
      <c r="B503" s="424" t="s">
        <v>302</v>
      </c>
      <c r="C503" s="400" t="s">
        <v>23</v>
      </c>
      <c r="D503" s="406">
        <v>0</v>
      </c>
      <c r="E503" s="402"/>
      <c r="F503" s="402">
        <f t="shared" si="10"/>
        <v>0</v>
      </c>
    </row>
    <row r="504" spans="1:6" ht="15.5" hidden="1">
      <c r="A504" s="423" t="s">
        <v>284</v>
      </c>
      <c r="B504" s="424" t="s">
        <v>517</v>
      </c>
      <c r="C504" s="400" t="s">
        <v>4</v>
      </c>
      <c r="D504" s="406">
        <v>0</v>
      </c>
      <c r="E504" s="402"/>
      <c r="F504" s="402">
        <f t="shared" si="10"/>
        <v>0</v>
      </c>
    </row>
    <row r="505" spans="1:6" ht="15.5">
      <c r="A505" s="423" t="s">
        <v>519</v>
      </c>
      <c r="B505" s="422" t="s">
        <v>114</v>
      </c>
      <c r="C505" s="400"/>
      <c r="D505" s="406"/>
      <c r="E505" s="402"/>
      <c r="F505" s="402"/>
    </row>
    <row r="506" spans="1:6" ht="15.5">
      <c r="A506" s="423" t="s">
        <v>520</v>
      </c>
      <c r="B506" s="424" t="s">
        <v>521</v>
      </c>
      <c r="C506" s="400" t="s">
        <v>4</v>
      </c>
      <c r="D506" s="406">
        <f>7.95*1.1*3</f>
        <v>26.235000000000003</v>
      </c>
      <c r="E506" s="402"/>
      <c r="F506" s="402">
        <f>D506*E506</f>
        <v>0</v>
      </c>
    </row>
    <row r="507" spans="1:6" ht="15.5">
      <c r="A507" s="423" t="s">
        <v>520</v>
      </c>
      <c r="B507" s="424" t="s">
        <v>626</v>
      </c>
      <c r="C507" s="400" t="s">
        <v>9</v>
      </c>
      <c r="D507" s="406">
        <v>3</v>
      </c>
      <c r="E507" s="402"/>
      <c r="F507" s="402">
        <f>D507*E507</f>
        <v>0</v>
      </c>
    </row>
    <row r="508" spans="1:6" ht="15.5">
      <c r="A508" s="423" t="s">
        <v>520</v>
      </c>
      <c r="B508" s="424" t="s">
        <v>523</v>
      </c>
      <c r="C508" s="400" t="s">
        <v>7</v>
      </c>
      <c r="D508" s="406">
        <f>6*3</f>
        <v>18</v>
      </c>
      <c r="E508" s="402"/>
      <c r="F508" s="402">
        <f>D508*E508</f>
        <v>0</v>
      </c>
    </row>
    <row r="509" spans="1:6" ht="15.5">
      <c r="A509" s="423" t="s">
        <v>627</v>
      </c>
      <c r="B509" s="424" t="s">
        <v>628</v>
      </c>
      <c r="C509" s="400" t="s">
        <v>9</v>
      </c>
      <c r="D509" s="406">
        <v>0</v>
      </c>
      <c r="E509" s="402"/>
      <c r="F509" s="402">
        <f>D509*E509</f>
        <v>0</v>
      </c>
    </row>
    <row r="510" spans="1:6" ht="16" thickBot="1">
      <c r="A510" s="423" t="s">
        <v>524</v>
      </c>
      <c r="B510" s="424" t="s">
        <v>525</v>
      </c>
      <c r="C510" s="400" t="s">
        <v>9</v>
      </c>
      <c r="D510" s="406">
        <v>4</v>
      </c>
      <c r="E510" s="402"/>
      <c r="F510" s="402">
        <f>D510*E510</f>
        <v>0</v>
      </c>
    </row>
    <row r="511" spans="1:6" ht="17.399999999999999" customHeight="1" thickBot="1">
      <c r="A511" s="408"/>
      <c r="B511" s="417" t="s">
        <v>115</v>
      </c>
      <c r="C511" s="393"/>
      <c r="D511" s="394"/>
      <c r="E511" s="411"/>
      <c r="F511" s="411">
        <f>SUM(F417:F510)</f>
        <v>0</v>
      </c>
    </row>
    <row r="512" spans="1:6" ht="16" thickBot="1">
      <c r="A512" s="408"/>
      <c r="B512" s="409" t="s">
        <v>526</v>
      </c>
      <c r="C512" s="393"/>
      <c r="D512" s="394"/>
      <c r="E512" s="411"/>
      <c r="F512" s="411">
        <f>F414+F511</f>
        <v>0</v>
      </c>
    </row>
    <row r="513" spans="1:6" s="433" customFormat="1" ht="15.5">
      <c r="A513" s="440">
        <v>3</v>
      </c>
      <c r="B513" s="441" t="s">
        <v>527</v>
      </c>
      <c r="C513" s="442"/>
      <c r="D513" s="428"/>
      <c r="E513" s="407"/>
      <c r="F513" s="407"/>
    </row>
    <row r="514" spans="1:6" ht="15.5">
      <c r="A514" s="423" t="s">
        <v>116</v>
      </c>
      <c r="B514" s="424" t="s">
        <v>117</v>
      </c>
      <c r="C514" s="400"/>
      <c r="D514" s="400"/>
      <c r="E514" s="402"/>
      <c r="F514" s="402"/>
    </row>
    <row r="515" spans="1:6" ht="15.5">
      <c r="A515" s="404" t="s">
        <v>118</v>
      </c>
      <c r="B515" s="405" t="s">
        <v>528</v>
      </c>
      <c r="C515" s="400" t="s">
        <v>529</v>
      </c>
      <c r="D515" s="400">
        <v>1</v>
      </c>
      <c r="E515" s="443"/>
      <c r="F515" s="402">
        <f t="shared" ref="F515:F522" si="11">D515*E515</f>
        <v>0</v>
      </c>
    </row>
    <row r="516" spans="1:6" ht="15.5">
      <c r="A516" s="404" t="s">
        <v>119</v>
      </c>
      <c r="B516" s="405" t="s">
        <v>120</v>
      </c>
      <c r="C516" s="400" t="s">
        <v>10</v>
      </c>
      <c r="D516" s="400">
        <f>(12*31.25)/100</f>
        <v>3.75</v>
      </c>
      <c r="E516" s="443"/>
      <c r="F516" s="402">
        <f t="shared" si="11"/>
        <v>0</v>
      </c>
    </row>
    <row r="517" spans="1:6" ht="15.5" hidden="1">
      <c r="A517" s="404" t="s">
        <v>121</v>
      </c>
      <c r="B517" s="405" t="s">
        <v>530</v>
      </c>
      <c r="C517" s="400" t="s">
        <v>7</v>
      </c>
      <c r="D517" s="400"/>
      <c r="E517" s="444"/>
      <c r="F517" s="402">
        <f t="shared" si="11"/>
        <v>0</v>
      </c>
    </row>
    <row r="518" spans="1:6" ht="15.5" hidden="1">
      <c r="A518" s="404" t="s">
        <v>119</v>
      </c>
      <c r="B518" s="405" t="s">
        <v>531</v>
      </c>
      <c r="C518" s="400" t="s">
        <v>7</v>
      </c>
      <c r="D518" s="400"/>
      <c r="E518" s="444"/>
      <c r="F518" s="402">
        <f t="shared" si="11"/>
        <v>0</v>
      </c>
    </row>
    <row r="519" spans="1:6" ht="15.5" hidden="1">
      <c r="A519" s="404" t="s">
        <v>532</v>
      </c>
      <c r="B519" s="405" t="s">
        <v>533</v>
      </c>
      <c r="C519" s="400" t="s">
        <v>7</v>
      </c>
      <c r="D519" s="400"/>
      <c r="E519" s="444"/>
      <c r="F519" s="402">
        <f t="shared" si="11"/>
        <v>0</v>
      </c>
    </row>
    <row r="520" spans="1:6" ht="15.5" hidden="1">
      <c r="A520" s="404" t="s">
        <v>534</v>
      </c>
      <c r="B520" s="405" t="s">
        <v>535</v>
      </c>
      <c r="C520" s="400" t="s">
        <v>7</v>
      </c>
      <c r="D520" s="400"/>
      <c r="E520" s="444"/>
      <c r="F520" s="402">
        <f t="shared" si="11"/>
        <v>0</v>
      </c>
    </row>
    <row r="521" spans="1:6" ht="15.5" hidden="1">
      <c r="A521" s="404" t="s">
        <v>536</v>
      </c>
      <c r="B521" s="405" t="s">
        <v>537</v>
      </c>
      <c r="C521" s="400" t="s">
        <v>7</v>
      </c>
      <c r="D521" s="400"/>
      <c r="E521" s="444"/>
      <c r="F521" s="402">
        <f t="shared" si="11"/>
        <v>0</v>
      </c>
    </row>
    <row r="522" spans="1:6" ht="16" thickBot="1">
      <c r="A522" s="404" t="s">
        <v>538</v>
      </c>
      <c r="B522" s="405" t="s">
        <v>122</v>
      </c>
      <c r="C522" s="400" t="s">
        <v>9</v>
      </c>
      <c r="D522" s="400">
        <v>24</v>
      </c>
      <c r="E522" s="402"/>
      <c r="F522" s="402">
        <f t="shared" si="11"/>
        <v>0</v>
      </c>
    </row>
    <row r="523" spans="1:6" ht="16" thickBot="1">
      <c r="A523" s="445"/>
      <c r="B523" s="409" t="s">
        <v>540</v>
      </c>
      <c r="C523" s="446"/>
      <c r="D523" s="447"/>
      <c r="E523" s="448"/>
      <c r="F523" s="411">
        <f>SUM(F515:F522)</f>
        <v>0</v>
      </c>
    </row>
    <row r="524" spans="1:6" ht="15.5">
      <c r="A524" s="449">
        <v>4</v>
      </c>
      <c r="B524" s="429" t="s">
        <v>541</v>
      </c>
      <c r="C524" s="420"/>
      <c r="D524" s="406"/>
      <c r="E524" s="403"/>
      <c r="F524" s="402"/>
    </row>
    <row r="525" spans="1:6" ht="15.5">
      <c r="A525" s="423" t="s">
        <v>123</v>
      </c>
      <c r="B525" s="424" t="s">
        <v>43</v>
      </c>
      <c r="C525" s="400"/>
      <c r="D525" s="406"/>
      <c r="E525" s="402"/>
      <c r="F525" s="402"/>
    </row>
    <row r="526" spans="1:6" ht="15.5">
      <c r="A526" s="423" t="s">
        <v>124</v>
      </c>
      <c r="B526" s="429" t="s">
        <v>44</v>
      </c>
      <c r="C526" s="400"/>
      <c r="D526" s="406"/>
      <c r="E526" s="402"/>
      <c r="F526" s="402"/>
    </row>
    <row r="527" spans="1:6" ht="15.5">
      <c r="A527" s="423" t="s">
        <v>542</v>
      </c>
      <c r="B527" s="424" t="s">
        <v>708</v>
      </c>
      <c r="C527" s="400" t="s">
        <v>4</v>
      </c>
      <c r="D527" s="406">
        <f>12*32.25</f>
        <v>387</v>
      </c>
      <c r="E527" s="402"/>
      <c r="F527" s="402">
        <f>D527*E527</f>
        <v>0</v>
      </c>
    </row>
    <row r="528" spans="1:6" ht="15.5">
      <c r="A528" s="423" t="s">
        <v>125</v>
      </c>
      <c r="B528" s="429" t="s">
        <v>126</v>
      </c>
      <c r="C528" s="400"/>
      <c r="D528" s="406"/>
      <c r="E528" s="402"/>
      <c r="F528" s="402"/>
    </row>
    <row r="529" spans="1:6" ht="15.5">
      <c r="A529" s="423" t="s">
        <v>127</v>
      </c>
      <c r="B529" s="424" t="s">
        <v>707</v>
      </c>
      <c r="C529" s="400" t="s">
        <v>7</v>
      </c>
      <c r="D529" s="406">
        <v>32.25</v>
      </c>
      <c r="E529" s="402"/>
      <c r="F529" s="402">
        <f>D529*E529</f>
        <v>0</v>
      </c>
    </row>
    <row r="530" spans="1:6" ht="15.5">
      <c r="A530" s="423" t="s">
        <v>246</v>
      </c>
      <c r="B530" s="429" t="s">
        <v>130</v>
      </c>
      <c r="C530" s="414"/>
      <c r="D530" s="406"/>
      <c r="E530" s="431"/>
      <c r="F530" s="402"/>
    </row>
    <row r="531" spans="1:6" ht="16" thickBot="1">
      <c r="A531" s="434" t="s">
        <v>247</v>
      </c>
      <c r="B531" s="424" t="s">
        <v>629</v>
      </c>
      <c r="C531" s="436" t="s">
        <v>4</v>
      </c>
      <c r="D531" s="406">
        <f>(2*32.25*0.4)+(12*0.6)</f>
        <v>33</v>
      </c>
      <c r="E531" s="451"/>
      <c r="F531" s="402">
        <f>D531*E531</f>
        <v>0</v>
      </c>
    </row>
    <row r="532" spans="1:6" ht="16" thickBot="1">
      <c r="A532" s="445"/>
      <c r="B532" s="409" t="s">
        <v>545</v>
      </c>
      <c r="C532" s="393"/>
      <c r="D532" s="394"/>
      <c r="E532" s="411"/>
      <c r="F532" s="411">
        <f>SUM(F527:F531)</f>
        <v>0</v>
      </c>
    </row>
    <row r="533" spans="1:6" ht="15.5">
      <c r="A533" s="412">
        <v>5</v>
      </c>
      <c r="B533" s="453" t="s">
        <v>546</v>
      </c>
      <c r="C533" s="400"/>
      <c r="D533" s="406"/>
      <c r="E533" s="402"/>
      <c r="F533" s="402"/>
    </row>
    <row r="534" spans="1:6" ht="15.5">
      <c r="A534" s="405" t="s">
        <v>49</v>
      </c>
      <c r="B534" s="453" t="s">
        <v>51</v>
      </c>
      <c r="C534" s="400"/>
      <c r="D534" s="406"/>
      <c r="E534" s="402"/>
      <c r="F534" s="402"/>
    </row>
    <row r="535" spans="1:6" ht="16" thickBot="1">
      <c r="A535" s="424" t="s">
        <v>50</v>
      </c>
      <c r="B535" s="454" t="s">
        <v>547</v>
      </c>
      <c r="C535" s="400" t="s">
        <v>131</v>
      </c>
      <c r="D535" s="406">
        <v>1</v>
      </c>
      <c r="E535" s="402"/>
      <c r="F535" s="402">
        <f>D535*E535</f>
        <v>0</v>
      </c>
    </row>
    <row r="536" spans="1:6" ht="16" thickBot="1">
      <c r="A536" s="445"/>
      <c r="B536" s="494" t="s">
        <v>548</v>
      </c>
      <c r="C536" s="393"/>
      <c r="D536" s="394"/>
      <c r="E536" s="411"/>
      <c r="F536" s="411">
        <f>F535</f>
        <v>0</v>
      </c>
    </row>
    <row r="537" spans="1:6" ht="15.5">
      <c r="A537" s="404">
        <v>6</v>
      </c>
      <c r="B537" s="455" t="s">
        <v>549</v>
      </c>
      <c r="C537" s="456"/>
      <c r="D537" s="415"/>
      <c r="E537" s="416"/>
      <c r="F537" s="402"/>
    </row>
    <row r="538" spans="1:6" ht="15.5" hidden="1">
      <c r="A538" s="457" t="s">
        <v>328</v>
      </c>
      <c r="B538" s="453" t="s">
        <v>550</v>
      </c>
      <c r="C538" s="414"/>
      <c r="D538" s="415"/>
      <c r="E538" s="431"/>
      <c r="F538" s="402"/>
    </row>
    <row r="539" spans="1:6" ht="15.5" hidden="1">
      <c r="A539" s="457" t="s">
        <v>329</v>
      </c>
      <c r="B539" s="450" t="s">
        <v>630</v>
      </c>
      <c r="C539" s="400" t="s">
        <v>9</v>
      </c>
      <c r="D539" s="406">
        <v>0</v>
      </c>
      <c r="E539" s="400"/>
      <c r="F539" s="402">
        <f>D539*E539</f>
        <v>0</v>
      </c>
    </row>
    <row r="540" spans="1:6" ht="15.5" hidden="1">
      <c r="A540" s="457" t="s">
        <v>402</v>
      </c>
      <c r="B540" s="405" t="s">
        <v>552</v>
      </c>
      <c r="C540" s="400"/>
      <c r="D540" s="406"/>
      <c r="E540" s="402"/>
      <c r="F540" s="402">
        <f>D540*E540</f>
        <v>0</v>
      </c>
    </row>
    <row r="541" spans="1:6" ht="15.5" hidden="1">
      <c r="A541" s="457" t="s">
        <v>553</v>
      </c>
      <c r="B541" s="405" t="s">
        <v>554</v>
      </c>
      <c r="C541" s="400" t="s">
        <v>9</v>
      </c>
      <c r="D541" s="406">
        <v>0</v>
      </c>
      <c r="E541" s="402"/>
      <c r="F541" s="402">
        <f>D541*E541</f>
        <v>0</v>
      </c>
    </row>
    <row r="542" spans="1:6" ht="15.5" hidden="1">
      <c r="A542" s="457" t="s">
        <v>555</v>
      </c>
      <c r="B542" s="405" t="s">
        <v>259</v>
      </c>
      <c r="C542" s="400" t="s">
        <v>9</v>
      </c>
      <c r="D542" s="406">
        <v>0</v>
      </c>
      <c r="E542" s="402"/>
      <c r="F542" s="402">
        <f>D542*E542</f>
        <v>0</v>
      </c>
    </row>
    <row r="543" spans="1:6" ht="15.5">
      <c r="A543" s="457" t="s">
        <v>403</v>
      </c>
      <c r="B543" s="453" t="s">
        <v>556</v>
      </c>
      <c r="C543" s="414"/>
      <c r="D543" s="415"/>
      <c r="E543" s="431"/>
      <c r="F543" s="402"/>
    </row>
    <row r="544" spans="1:6" s="4" customFormat="1" ht="15.5">
      <c r="A544" s="15" t="s">
        <v>598</v>
      </c>
      <c r="B544" s="47" t="s">
        <v>424</v>
      </c>
      <c r="C544" s="12"/>
      <c r="D544" s="17"/>
      <c r="E544" s="201"/>
      <c r="F544" s="241"/>
    </row>
    <row r="545" spans="1:6" s="367" customFormat="1" ht="15.5">
      <c r="A545" s="15" t="s">
        <v>599</v>
      </c>
      <c r="B545" s="48" t="s">
        <v>425</v>
      </c>
      <c r="C545" s="363" t="s">
        <v>9</v>
      </c>
      <c r="D545" s="364">
        <v>2</v>
      </c>
      <c r="E545" s="365"/>
      <c r="F545" s="366">
        <f>D545*E545</f>
        <v>0</v>
      </c>
    </row>
    <row r="546" spans="1:6" s="367" customFormat="1" ht="15.5">
      <c r="A546" s="15" t="s">
        <v>599</v>
      </c>
      <c r="B546" s="368" t="s">
        <v>426</v>
      </c>
      <c r="C546" s="363" t="s">
        <v>7</v>
      </c>
      <c r="D546" s="364">
        <f>1.1*8</f>
        <v>8.8000000000000007</v>
      </c>
      <c r="E546" s="365"/>
      <c r="F546" s="366">
        <f>D546*E546</f>
        <v>0</v>
      </c>
    </row>
    <row r="547" spans="1:6" s="367" customFormat="1" ht="15.5">
      <c r="A547" s="15" t="s">
        <v>601</v>
      </c>
      <c r="B547" s="362" t="s">
        <v>427</v>
      </c>
      <c r="C547" s="363"/>
      <c r="D547" s="364"/>
      <c r="E547" s="365"/>
      <c r="F547" s="366"/>
    </row>
    <row r="548" spans="1:6" s="367" customFormat="1" ht="16" thickBot="1">
      <c r="A548" s="15" t="s">
        <v>602</v>
      </c>
      <c r="B548" s="368" t="s">
        <v>428</v>
      </c>
      <c r="C548" s="363" t="s">
        <v>4</v>
      </c>
      <c r="D548" s="364">
        <f>1.5*1.1*2</f>
        <v>3.3000000000000003</v>
      </c>
      <c r="E548" s="365"/>
      <c r="F548" s="366">
        <f>D548*E548</f>
        <v>0</v>
      </c>
    </row>
    <row r="549" spans="1:6" ht="16" thickBot="1">
      <c r="A549" s="458"/>
      <c r="B549" s="495" t="s">
        <v>562</v>
      </c>
      <c r="C549" s="393"/>
      <c r="D549" s="394"/>
      <c r="E549" s="411"/>
      <c r="F549" s="411">
        <f>SUM(F539:F548)</f>
        <v>0</v>
      </c>
    </row>
    <row r="550" spans="1:6" ht="15.5">
      <c r="A550" s="449">
        <v>7</v>
      </c>
      <c r="B550" s="429" t="s">
        <v>563</v>
      </c>
      <c r="C550" s="459"/>
      <c r="D550" s="460"/>
      <c r="E550" s="403"/>
      <c r="F550" s="402"/>
    </row>
    <row r="551" spans="1:6" ht="15.5" hidden="1">
      <c r="A551" s="450" t="s">
        <v>132</v>
      </c>
      <c r="B551" s="424" t="s">
        <v>564</v>
      </c>
      <c r="C551" s="400" t="s">
        <v>7</v>
      </c>
      <c r="D551" s="406">
        <v>0</v>
      </c>
      <c r="E551" s="402"/>
      <c r="F551" s="402">
        <f>D551*E551</f>
        <v>0</v>
      </c>
    </row>
    <row r="552" spans="1:6" ht="15.5" hidden="1">
      <c r="A552" s="450" t="s">
        <v>133</v>
      </c>
      <c r="B552" s="424" t="s">
        <v>565</v>
      </c>
      <c r="C552" s="400" t="s">
        <v>7</v>
      </c>
      <c r="D552" s="406">
        <v>0</v>
      </c>
      <c r="E552" s="402"/>
      <c r="F552" s="402">
        <f>D552*E552</f>
        <v>0</v>
      </c>
    </row>
    <row r="553" spans="1:6" ht="15.5">
      <c r="A553" s="450" t="s">
        <v>408</v>
      </c>
      <c r="B553" s="424" t="s">
        <v>566</v>
      </c>
      <c r="C553" s="400"/>
      <c r="D553" s="406"/>
      <c r="E553" s="402"/>
      <c r="F553" s="402"/>
    </row>
    <row r="554" spans="1:6" ht="15.5">
      <c r="A554" s="450"/>
      <c r="B554" s="424" t="s">
        <v>567</v>
      </c>
      <c r="C554" s="400" t="s">
        <v>4</v>
      </c>
      <c r="D554" s="406">
        <f>32.25*11.45</f>
        <v>369.26249999999999</v>
      </c>
      <c r="E554" s="402"/>
      <c r="F554" s="402">
        <f>D554*E554</f>
        <v>0</v>
      </c>
    </row>
    <row r="555" spans="1:6" ht="16" thickBot="1">
      <c r="A555" s="450"/>
      <c r="B555" s="424" t="s">
        <v>631</v>
      </c>
      <c r="C555" s="400" t="s">
        <v>4</v>
      </c>
      <c r="D555" s="406">
        <f>D554</f>
        <v>369.26249999999999</v>
      </c>
      <c r="E555" s="402"/>
      <c r="F555" s="402">
        <f>D555*E555</f>
        <v>0</v>
      </c>
    </row>
    <row r="556" spans="1:6" ht="16" thickBot="1">
      <c r="A556" s="445"/>
      <c r="B556" s="494" t="s">
        <v>569</v>
      </c>
      <c r="C556" s="393"/>
      <c r="D556" s="394"/>
      <c r="E556" s="448"/>
      <c r="F556" s="411">
        <f>SUM(F551:F555)</f>
        <v>0</v>
      </c>
    </row>
    <row r="557" spans="1:6" ht="21.65" customHeight="1">
      <c r="A557" s="412">
        <v>8</v>
      </c>
      <c r="B557" s="461" t="s">
        <v>632</v>
      </c>
      <c r="C557" s="456"/>
      <c r="D557" s="415"/>
      <c r="E557" s="416"/>
      <c r="F557" s="402"/>
    </row>
    <row r="558" spans="1:6" ht="15.5">
      <c r="A558" s="404" t="s">
        <v>335</v>
      </c>
      <c r="B558" s="461" t="s">
        <v>134</v>
      </c>
      <c r="C558" s="400"/>
      <c r="D558" s="406"/>
      <c r="E558" s="402"/>
      <c r="F558" s="402"/>
    </row>
    <row r="559" spans="1:6" ht="15.5">
      <c r="A559" s="404" t="s">
        <v>337</v>
      </c>
      <c r="B559" s="405" t="s">
        <v>646</v>
      </c>
      <c r="C559" s="400" t="s">
        <v>529</v>
      </c>
      <c r="D559" s="406">
        <v>1</v>
      </c>
      <c r="E559" s="402"/>
      <c r="F559" s="402">
        <f>D559*E559</f>
        <v>0</v>
      </c>
    </row>
    <row r="560" spans="1:6" ht="15.5">
      <c r="A560" s="404" t="s">
        <v>337</v>
      </c>
      <c r="B560" s="405" t="s">
        <v>633</v>
      </c>
      <c r="C560" s="400" t="s">
        <v>9</v>
      </c>
      <c r="D560" s="406">
        <v>3</v>
      </c>
      <c r="E560" s="402"/>
      <c r="F560" s="402">
        <f>D560*E560</f>
        <v>0</v>
      </c>
    </row>
    <row r="561" spans="1:7" ht="15.5">
      <c r="A561" s="404" t="s">
        <v>572</v>
      </c>
      <c r="B561" s="405" t="s">
        <v>634</v>
      </c>
      <c r="C561" s="400" t="s">
        <v>9</v>
      </c>
      <c r="D561" s="406">
        <v>2</v>
      </c>
      <c r="E561" s="402"/>
      <c r="F561" s="402">
        <f>D561*E561</f>
        <v>0</v>
      </c>
    </row>
    <row r="562" spans="1:7" ht="15.5">
      <c r="A562" s="404" t="s">
        <v>574</v>
      </c>
      <c r="B562" s="461" t="s">
        <v>135</v>
      </c>
      <c r="C562" s="400"/>
      <c r="D562" s="406"/>
      <c r="E562" s="402"/>
      <c r="F562" s="402"/>
    </row>
    <row r="563" spans="1:7" ht="15.5">
      <c r="A563" s="404" t="s">
        <v>575</v>
      </c>
      <c r="B563" s="405" t="s">
        <v>576</v>
      </c>
      <c r="C563" s="400" t="s">
        <v>9</v>
      </c>
      <c r="D563" s="400">
        <v>1</v>
      </c>
      <c r="E563" s="402"/>
      <c r="F563" s="402">
        <f>D563*E563</f>
        <v>0</v>
      </c>
    </row>
    <row r="564" spans="1:7" ht="15.5">
      <c r="A564" s="404" t="s">
        <v>577</v>
      </c>
      <c r="B564" s="405" t="s">
        <v>370</v>
      </c>
      <c r="C564" s="400" t="s">
        <v>4</v>
      </c>
      <c r="D564" s="400">
        <v>3</v>
      </c>
      <c r="E564" s="402"/>
      <c r="F564" s="402">
        <f>D564*E564</f>
        <v>0</v>
      </c>
    </row>
    <row r="565" spans="1:7" ht="15.5">
      <c r="A565" s="405" t="s">
        <v>578</v>
      </c>
      <c r="B565" s="399" t="s">
        <v>635</v>
      </c>
      <c r="C565" s="400"/>
      <c r="D565" s="400"/>
      <c r="E565" s="402"/>
      <c r="F565" s="402"/>
    </row>
    <row r="566" spans="1:7" ht="15.5">
      <c r="A566" s="405" t="s">
        <v>580</v>
      </c>
      <c r="B566" s="405" t="s">
        <v>581</v>
      </c>
      <c r="C566" s="400"/>
      <c r="D566" s="400"/>
      <c r="E566" s="402"/>
      <c r="F566" s="402"/>
    </row>
    <row r="567" spans="1:7" ht="15.5">
      <c r="A567" s="405" t="s">
        <v>582</v>
      </c>
      <c r="B567" s="405" t="s">
        <v>636</v>
      </c>
      <c r="C567" s="400" t="s">
        <v>9</v>
      </c>
      <c r="D567" s="400">
        <v>2</v>
      </c>
      <c r="E567" s="402"/>
      <c r="F567" s="402">
        <f>D567*E567</f>
        <v>0</v>
      </c>
    </row>
    <row r="568" spans="1:7" ht="15.5">
      <c r="A568" s="405" t="s">
        <v>584</v>
      </c>
      <c r="B568" s="399" t="s">
        <v>585</v>
      </c>
      <c r="C568" s="400"/>
      <c r="D568" s="400"/>
      <c r="E568" s="402"/>
      <c r="F568" s="402"/>
    </row>
    <row r="569" spans="1:7" ht="15.5">
      <c r="A569" s="405" t="s">
        <v>586</v>
      </c>
      <c r="B569" s="405" t="s">
        <v>587</v>
      </c>
      <c r="C569" s="400" t="s">
        <v>9</v>
      </c>
      <c r="D569" s="400">
        <v>0</v>
      </c>
      <c r="E569" s="402"/>
      <c r="F569" s="402">
        <f>D569*E569</f>
        <v>0</v>
      </c>
    </row>
    <row r="570" spans="1:7" ht="16" thickBot="1">
      <c r="A570" s="405" t="s">
        <v>588</v>
      </c>
      <c r="B570" s="405" t="s">
        <v>589</v>
      </c>
      <c r="C570" s="400" t="s">
        <v>9</v>
      </c>
      <c r="D570" s="400">
        <v>0</v>
      </c>
      <c r="E570" s="402"/>
      <c r="F570" s="402">
        <f>D570*E570</f>
        <v>0</v>
      </c>
    </row>
    <row r="571" spans="1:7" ht="16" thickBot="1">
      <c r="A571" s="445"/>
      <c r="B571" s="409" t="s">
        <v>590</v>
      </c>
      <c r="C571" s="446"/>
      <c r="D571" s="447"/>
      <c r="E571" s="448"/>
      <c r="F571" s="411">
        <f>SUM(F561:F570)</f>
        <v>0</v>
      </c>
    </row>
    <row r="572" spans="1:7" ht="15.5" hidden="1">
      <c r="A572" s="412">
        <v>9</v>
      </c>
      <c r="B572" s="399" t="s">
        <v>591</v>
      </c>
      <c r="C572" s="420"/>
      <c r="D572" s="401"/>
      <c r="E572" s="403"/>
      <c r="F572" s="402"/>
    </row>
    <row r="573" spans="1:7" ht="15.5" hidden="1">
      <c r="A573" s="412">
        <v>10</v>
      </c>
      <c r="B573" s="399" t="s">
        <v>592</v>
      </c>
      <c r="C573" s="400"/>
      <c r="D573" s="406"/>
      <c r="E573" s="402"/>
      <c r="F573" s="402"/>
    </row>
    <row r="574" spans="1:7" s="385" customFormat="1" ht="15.5" hidden="1">
      <c r="A574" s="404" t="s">
        <v>136</v>
      </c>
      <c r="B574" s="405" t="s">
        <v>593</v>
      </c>
      <c r="C574" s="400"/>
      <c r="D574" s="406"/>
      <c r="E574" s="402"/>
      <c r="F574" s="402"/>
      <c r="G574" s="382"/>
    </row>
    <row r="575" spans="1:7" ht="15.5" hidden="1">
      <c r="A575" s="404" t="s">
        <v>594</v>
      </c>
      <c r="B575" s="462" t="s">
        <v>637</v>
      </c>
      <c r="C575" s="400" t="s">
        <v>529</v>
      </c>
      <c r="D575" s="406">
        <v>0</v>
      </c>
      <c r="E575" s="402"/>
      <c r="F575" s="402">
        <f>D575*E575</f>
        <v>0</v>
      </c>
    </row>
    <row r="576" spans="1:7" s="385" customFormat="1" ht="15.5" hidden="1">
      <c r="A576" s="404" t="s">
        <v>638</v>
      </c>
      <c r="B576" s="405" t="s">
        <v>639</v>
      </c>
      <c r="C576" s="400" t="s">
        <v>9</v>
      </c>
      <c r="D576" s="406">
        <v>0</v>
      </c>
      <c r="E576" s="402"/>
      <c r="F576" s="402">
        <f>D576*E576</f>
        <v>0</v>
      </c>
      <c r="G576" s="382"/>
    </row>
    <row r="577" spans="1:7" s="385" customFormat="1" ht="15.5" hidden="1">
      <c r="A577" s="404" t="s">
        <v>640</v>
      </c>
      <c r="B577" s="405" t="s">
        <v>641</v>
      </c>
      <c r="C577" s="400" t="s">
        <v>9</v>
      </c>
      <c r="D577" s="406">
        <v>0</v>
      </c>
      <c r="E577" s="402"/>
      <c r="F577" s="402">
        <f>D577*E577</f>
        <v>0</v>
      </c>
      <c r="G577" s="382"/>
    </row>
    <row r="578" spans="1:7" s="385" customFormat="1" ht="15.5" hidden="1">
      <c r="A578" s="404" t="s">
        <v>642</v>
      </c>
      <c r="B578" s="405" t="s">
        <v>643</v>
      </c>
      <c r="C578" s="400" t="s">
        <v>9</v>
      </c>
      <c r="D578" s="406">
        <v>0</v>
      </c>
      <c r="E578" s="402"/>
      <c r="F578" s="402">
        <f>D578*E578</f>
        <v>0</v>
      </c>
      <c r="G578" s="382"/>
    </row>
    <row r="579" spans="1:7" ht="16" hidden="1" thickBot="1">
      <c r="A579" s="408"/>
      <c r="B579" s="409" t="s">
        <v>596</v>
      </c>
      <c r="C579" s="446"/>
      <c r="D579" s="447"/>
      <c r="E579" s="448"/>
      <c r="F579" s="411">
        <f>SUM(F575:F578)</f>
        <v>0</v>
      </c>
    </row>
    <row r="580" spans="1:7" ht="15.5">
      <c r="A580" s="405"/>
      <c r="B580" s="399"/>
      <c r="C580" s="400"/>
      <c r="D580" s="406"/>
      <c r="E580" s="402"/>
      <c r="F580" s="431"/>
    </row>
    <row r="581" spans="1:7" ht="15.5">
      <c r="A581" s="412">
        <v>11</v>
      </c>
      <c r="B581" s="399" t="s">
        <v>597</v>
      </c>
      <c r="C581" s="400"/>
      <c r="D581" s="415"/>
      <c r="E581" s="431"/>
      <c r="F581" s="402"/>
    </row>
    <row r="582" spans="1:7" s="385" customFormat="1" ht="15.5">
      <c r="A582" s="404" t="s">
        <v>598</v>
      </c>
      <c r="B582" s="461" t="s">
        <v>137</v>
      </c>
      <c r="C582" s="463"/>
      <c r="D582" s="460"/>
      <c r="E582" s="463"/>
      <c r="F582" s="402"/>
      <c r="G582" s="382"/>
    </row>
    <row r="583" spans="1:7" s="385" customFormat="1" ht="15.5">
      <c r="A583" s="404" t="s">
        <v>599</v>
      </c>
      <c r="B583" s="462" t="s">
        <v>59</v>
      </c>
      <c r="C583" s="400" t="s">
        <v>4</v>
      </c>
      <c r="D583" s="406">
        <f>((31.25+8.3)*2*3.5)</f>
        <v>276.84999999999997</v>
      </c>
      <c r="E583" s="402"/>
      <c r="F583" s="402">
        <f>D583*E583</f>
        <v>0</v>
      </c>
      <c r="G583" s="382"/>
    </row>
    <row r="584" spans="1:7" s="385" customFormat="1" ht="31">
      <c r="A584" s="404" t="s">
        <v>600</v>
      </c>
      <c r="B584" s="462" t="s">
        <v>138</v>
      </c>
      <c r="C584" s="400" t="s">
        <v>4</v>
      </c>
      <c r="D584" s="406">
        <f>1.5*31.25*2+8*2*1.5*2</f>
        <v>141.75</v>
      </c>
      <c r="E584" s="402"/>
      <c r="F584" s="402">
        <f>D584*E584</f>
        <v>0</v>
      </c>
      <c r="G584" s="382"/>
    </row>
    <row r="585" spans="1:7" ht="15.5">
      <c r="A585" s="404" t="s">
        <v>601</v>
      </c>
      <c r="B585" s="461" t="s">
        <v>139</v>
      </c>
      <c r="C585" s="400"/>
      <c r="D585" s="406"/>
      <c r="E585" s="402"/>
      <c r="F585" s="402"/>
    </row>
    <row r="586" spans="1:7" ht="15.5">
      <c r="A586" s="404" t="s">
        <v>602</v>
      </c>
      <c r="B586" s="462" t="s">
        <v>60</v>
      </c>
      <c r="C586" s="400" t="s">
        <v>4</v>
      </c>
      <c r="D586" s="406">
        <f>(31.25*2+8*8)*3+3.3*3*2</f>
        <v>399.3</v>
      </c>
      <c r="E586" s="402"/>
      <c r="F586" s="402">
        <f>D586*E586</f>
        <v>0</v>
      </c>
    </row>
    <row r="587" spans="1:7" ht="15.5">
      <c r="A587" s="404" t="s">
        <v>603</v>
      </c>
      <c r="B587" s="462" t="s">
        <v>604</v>
      </c>
      <c r="C587" s="400" t="s">
        <v>4</v>
      </c>
      <c r="D587" s="406">
        <f>D555</f>
        <v>369.26249999999999</v>
      </c>
      <c r="E587" s="402"/>
      <c r="F587" s="402">
        <f>D587*E587</f>
        <v>0</v>
      </c>
    </row>
    <row r="588" spans="1:7" ht="15.5">
      <c r="A588" s="404"/>
      <c r="B588" s="462"/>
      <c r="C588" s="400"/>
      <c r="D588" s="406"/>
      <c r="E588" s="402"/>
      <c r="F588" s="402"/>
    </row>
    <row r="589" spans="1:7" ht="15.5" hidden="1">
      <c r="A589" s="404" t="s">
        <v>605</v>
      </c>
      <c r="B589" s="461" t="s">
        <v>606</v>
      </c>
      <c r="C589" s="400"/>
      <c r="D589" s="400"/>
      <c r="E589" s="402"/>
      <c r="F589" s="402"/>
    </row>
    <row r="590" spans="1:7" ht="31" hidden="1">
      <c r="A590" s="404" t="s">
        <v>607</v>
      </c>
      <c r="B590" s="462" t="s">
        <v>608</v>
      </c>
      <c r="C590" s="400" t="s">
        <v>4</v>
      </c>
      <c r="D590" s="400">
        <v>0</v>
      </c>
      <c r="E590" s="402"/>
      <c r="F590" s="402">
        <f>D590*E590</f>
        <v>0</v>
      </c>
    </row>
    <row r="591" spans="1:7" ht="15.5" hidden="1">
      <c r="A591" s="404"/>
      <c r="B591" s="462"/>
      <c r="C591" s="400"/>
      <c r="D591" s="406"/>
      <c r="E591" s="402"/>
      <c r="F591" s="402"/>
    </row>
    <row r="592" spans="1:7" ht="15.5">
      <c r="A592" s="405" t="s">
        <v>609</v>
      </c>
      <c r="B592" s="461" t="s">
        <v>140</v>
      </c>
      <c r="C592" s="400"/>
      <c r="D592" s="406"/>
      <c r="E592" s="431"/>
      <c r="F592" s="402"/>
    </row>
    <row r="593" spans="1:7" ht="31">
      <c r="A593" s="405" t="s">
        <v>610</v>
      </c>
      <c r="B593" s="462" t="s">
        <v>141</v>
      </c>
      <c r="C593" s="400" t="s">
        <v>4</v>
      </c>
      <c r="D593" s="406">
        <f>3*1.65*2.2*2+0.9*2.2*2</f>
        <v>25.74</v>
      </c>
      <c r="E593" s="402"/>
      <c r="F593" s="402">
        <f>D593*E593</f>
        <v>0</v>
      </c>
    </row>
    <row r="594" spans="1:7" ht="15.5">
      <c r="A594" s="405" t="s">
        <v>611</v>
      </c>
      <c r="B594" s="461" t="s">
        <v>612</v>
      </c>
      <c r="C594" s="400"/>
      <c r="D594" s="406"/>
      <c r="E594" s="402"/>
      <c r="F594" s="402"/>
    </row>
    <row r="595" spans="1:7" ht="15.5">
      <c r="A595" s="405" t="s">
        <v>613</v>
      </c>
      <c r="B595" s="462" t="s">
        <v>644</v>
      </c>
      <c r="C595" s="400" t="s">
        <v>4</v>
      </c>
      <c r="D595" s="406">
        <f>3*6*1.4+4*3*1.4*4</f>
        <v>92.399999999999991</v>
      </c>
      <c r="E595" s="402"/>
      <c r="F595" s="402">
        <f>D595*E595</f>
        <v>0</v>
      </c>
    </row>
    <row r="596" spans="1:7" ht="16" thickBot="1">
      <c r="A596" s="405" t="s">
        <v>613</v>
      </c>
      <c r="B596" s="462" t="s">
        <v>142</v>
      </c>
      <c r="C596" s="400" t="s">
        <v>4</v>
      </c>
      <c r="D596" s="406">
        <f>3*6*1.4+4*3*1.4*4</f>
        <v>92.399999999999991</v>
      </c>
      <c r="E596" s="402"/>
      <c r="F596" s="402">
        <f>D596*E596</f>
        <v>0</v>
      </c>
    </row>
    <row r="597" spans="1:7" ht="16" thickBot="1">
      <c r="A597" s="408"/>
      <c r="B597" s="452" t="s">
        <v>615</v>
      </c>
      <c r="C597" s="446"/>
      <c r="D597" s="394"/>
      <c r="E597" s="393"/>
      <c r="F597" s="464">
        <f>SUM(F583:F596)</f>
        <v>0</v>
      </c>
    </row>
    <row r="598" spans="1:7" ht="16" thickBot="1">
      <c r="A598" s="424"/>
      <c r="B598" s="429"/>
      <c r="C598" s="466"/>
      <c r="D598" s="467"/>
      <c r="E598" s="386"/>
      <c r="F598" s="468"/>
    </row>
    <row r="599" spans="1:7" s="10" customFormat="1" ht="25" customHeight="1" thickBot="1">
      <c r="A599" s="496"/>
      <c r="B599" s="550" t="s">
        <v>654</v>
      </c>
      <c r="C599" s="550"/>
      <c r="D599" s="550"/>
      <c r="E599" s="500"/>
      <c r="F599" s="501">
        <f>F512+F523+F532+F536+F549+F556+F571+F597</f>
        <v>0</v>
      </c>
    </row>
    <row r="600" spans="1:7" ht="16" thickBot="1">
      <c r="A600" s="424"/>
      <c r="B600" s="429"/>
      <c r="C600" s="466"/>
      <c r="D600" s="467"/>
      <c r="E600" s="386"/>
      <c r="F600" s="468"/>
    </row>
    <row r="601" spans="1:7" ht="23" customHeight="1" thickBot="1">
      <c r="B601" s="552" t="s">
        <v>655</v>
      </c>
      <c r="C601" s="553"/>
      <c r="D601" s="553"/>
      <c r="E601" s="554"/>
      <c r="F601" s="386"/>
    </row>
    <row r="602" spans="1:7" ht="13.25" customHeight="1" thickBot="1">
      <c r="B602" s="387"/>
      <c r="C602" s="388"/>
      <c r="D602" s="389"/>
      <c r="E602" s="390"/>
      <c r="F602" s="390"/>
    </row>
    <row r="603" spans="1:7" s="397" customFormat="1" ht="33" customHeight="1" thickBot="1">
      <c r="A603" s="391" t="s">
        <v>438</v>
      </c>
      <c r="B603" s="392" t="s">
        <v>70</v>
      </c>
      <c r="C603" s="393" t="s">
        <v>75</v>
      </c>
      <c r="D603" s="394" t="s">
        <v>76</v>
      </c>
      <c r="E603" s="395" t="s">
        <v>77</v>
      </c>
      <c r="F603" s="393" t="s">
        <v>78</v>
      </c>
      <c r="G603" s="396"/>
    </row>
    <row r="604" spans="1:7" ht="15.5">
      <c r="A604" s="398">
        <v>1</v>
      </c>
      <c r="B604" s="399" t="s">
        <v>439</v>
      </c>
      <c r="C604" s="400"/>
      <c r="D604" s="401"/>
      <c r="E604" s="402"/>
      <c r="F604" s="403"/>
    </row>
    <row r="605" spans="1:7" ht="16" thickBot="1">
      <c r="A605" s="404" t="s">
        <v>5</v>
      </c>
      <c r="B605" s="405" t="s">
        <v>440</v>
      </c>
      <c r="C605" s="400" t="s">
        <v>441</v>
      </c>
      <c r="D605" s="406">
        <v>1</v>
      </c>
      <c r="E605" s="407"/>
      <c r="F605" s="402">
        <f>D605*E605</f>
        <v>0</v>
      </c>
    </row>
    <row r="606" spans="1:7" ht="16" thickBot="1">
      <c r="A606" s="408"/>
      <c r="B606" s="409" t="s">
        <v>442</v>
      </c>
      <c r="C606" s="393"/>
      <c r="D606" s="394"/>
      <c r="E606" s="410"/>
      <c r="F606" s="411">
        <f>F605</f>
        <v>0</v>
      </c>
    </row>
    <row r="607" spans="1:7" ht="15.5">
      <c r="A607" s="412">
        <v>2</v>
      </c>
      <c r="B607" s="413" t="s">
        <v>443</v>
      </c>
      <c r="C607" s="414"/>
      <c r="D607" s="415"/>
      <c r="E607" s="416"/>
      <c r="F607" s="402"/>
    </row>
    <row r="608" spans="1:7" ht="15.5" hidden="1">
      <c r="A608" s="404" t="s">
        <v>79</v>
      </c>
      <c r="B608" s="405" t="s">
        <v>80</v>
      </c>
      <c r="C608" s="400"/>
      <c r="D608" s="406"/>
      <c r="E608" s="402"/>
      <c r="F608" s="402"/>
    </row>
    <row r="609" spans="1:6" ht="15.5" hidden="1">
      <c r="A609" s="404" t="s">
        <v>81</v>
      </c>
      <c r="B609" s="405" t="s">
        <v>444</v>
      </c>
      <c r="C609" s="400" t="s">
        <v>10</v>
      </c>
      <c r="D609" s="406">
        <v>0</v>
      </c>
      <c r="E609" s="402"/>
      <c r="F609" s="402">
        <f>D609*E609</f>
        <v>0</v>
      </c>
    </row>
    <row r="610" spans="1:6" ht="17.399999999999999" hidden="1" customHeight="1">
      <c r="A610" s="404" t="s">
        <v>82</v>
      </c>
      <c r="B610" s="405" t="s">
        <v>83</v>
      </c>
      <c r="C610" s="400" t="s">
        <v>10</v>
      </c>
      <c r="D610" s="406">
        <v>0</v>
      </c>
      <c r="E610" s="402"/>
      <c r="F610" s="402">
        <f>D610*E610</f>
        <v>0</v>
      </c>
    </row>
    <row r="611" spans="1:6" ht="17.399999999999999" hidden="1" customHeight="1" thickBot="1">
      <c r="A611" s="404" t="s">
        <v>84</v>
      </c>
      <c r="B611" s="405" t="s">
        <v>85</v>
      </c>
      <c r="C611" s="400" t="s">
        <v>10</v>
      </c>
      <c r="D611" s="406">
        <f>3*7.93*8.88*0.2*0</f>
        <v>0</v>
      </c>
      <c r="E611" s="402"/>
      <c r="F611" s="402">
        <f>D611*E611</f>
        <v>0</v>
      </c>
    </row>
    <row r="612" spans="1:6" ht="17.399999999999999" hidden="1" customHeight="1" thickBot="1">
      <c r="A612" s="408"/>
      <c r="B612" s="417" t="s">
        <v>445</v>
      </c>
      <c r="C612" s="393"/>
      <c r="D612" s="394"/>
      <c r="E612" s="411"/>
      <c r="F612" s="411">
        <f>SUM(F609:F611)</f>
        <v>0</v>
      </c>
    </row>
    <row r="613" spans="1:6" ht="17.399999999999999" hidden="1" customHeight="1">
      <c r="A613" s="418" t="s">
        <v>16</v>
      </c>
      <c r="B613" s="419" t="s">
        <v>294</v>
      </c>
      <c r="C613" s="420"/>
      <c r="D613" s="401"/>
      <c r="E613" s="403"/>
      <c r="F613" s="402"/>
    </row>
    <row r="614" spans="1:6" ht="17.399999999999999" hidden="1" customHeight="1">
      <c r="A614" s="421" t="s">
        <v>17</v>
      </c>
      <c r="B614" s="422" t="s">
        <v>446</v>
      </c>
      <c r="C614" s="400"/>
      <c r="D614" s="406"/>
      <c r="E614" s="402"/>
      <c r="F614" s="402"/>
    </row>
    <row r="615" spans="1:6" ht="17.399999999999999" hidden="1" customHeight="1">
      <c r="A615" s="423" t="s">
        <v>86</v>
      </c>
      <c r="B615" s="424" t="s">
        <v>87</v>
      </c>
      <c r="C615" s="400" t="s">
        <v>10</v>
      </c>
      <c r="D615" s="406">
        <v>0</v>
      </c>
      <c r="E615" s="402"/>
      <c r="F615" s="402">
        <f>D615*E615</f>
        <v>0</v>
      </c>
    </row>
    <row r="616" spans="1:6" ht="17.399999999999999" hidden="1" customHeight="1">
      <c r="A616" s="423" t="s">
        <v>88</v>
      </c>
      <c r="B616" s="424" t="s">
        <v>447</v>
      </c>
      <c r="C616" s="400"/>
      <c r="D616" s="406"/>
      <c r="E616" s="402"/>
      <c r="F616" s="402"/>
    </row>
    <row r="617" spans="1:6" ht="17.399999999999999" hidden="1" customHeight="1">
      <c r="A617" s="423" t="s">
        <v>190</v>
      </c>
      <c r="B617" s="424" t="s">
        <v>20</v>
      </c>
      <c r="C617" s="400" t="s">
        <v>10</v>
      </c>
      <c r="D617" s="406">
        <v>0</v>
      </c>
      <c r="E617" s="402"/>
      <c r="F617" s="402">
        <f t="shared" ref="F617:F684" si="12">D617*E617</f>
        <v>0</v>
      </c>
    </row>
    <row r="618" spans="1:6" ht="17.399999999999999" hidden="1" customHeight="1">
      <c r="A618" s="423" t="s">
        <v>448</v>
      </c>
      <c r="B618" s="424" t="s">
        <v>449</v>
      </c>
      <c r="C618" s="400" t="s">
        <v>23</v>
      </c>
      <c r="D618" s="406">
        <f>D617*40</f>
        <v>0</v>
      </c>
      <c r="E618" s="402"/>
      <c r="F618" s="402">
        <f t="shared" si="12"/>
        <v>0</v>
      </c>
    </row>
    <row r="619" spans="1:6" ht="17.399999999999999" hidden="1" customHeight="1">
      <c r="A619" s="423" t="s">
        <v>450</v>
      </c>
      <c r="B619" s="424" t="s">
        <v>451</v>
      </c>
      <c r="C619" s="400" t="s">
        <v>4</v>
      </c>
      <c r="D619" s="406">
        <v>0</v>
      </c>
      <c r="E619" s="402"/>
      <c r="F619" s="402">
        <f t="shared" si="12"/>
        <v>0</v>
      </c>
    </row>
    <row r="620" spans="1:6" ht="30" hidden="1" customHeight="1">
      <c r="A620" s="423" t="s">
        <v>89</v>
      </c>
      <c r="B620" s="425" t="s">
        <v>452</v>
      </c>
      <c r="C620" s="400"/>
      <c r="D620" s="406"/>
      <c r="E620" s="402"/>
      <c r="F620" s="402"/>
    </row>
    <row r="621" spans="1:6" ht="17.399999999999999" hidden="1" customHeight="1">
      <c r="A621" s="423" t="s">
        <v>193</v>
      </c>
      <c r="B621" s="424" t="s">
        <v>20</v>
      </c>
      <c r="C621" s="400" t="s">
        <v>10</v>
      </c>
      <c r="D621" s="406">
        <v>0</v>
      </c>
      <c r="E621" s="402"/>
      <c r="F621" s="402">
        <f t="shared" si="12"/>
        <v>0</v>
      </c>
    </row>
    <row r="622" spans="1:6" ht="17.399999999999999" hidden="1" customHeight="1">
      <c r="A622" s="423" t="s">
        <v>191</v>
      </c>
      <c r="B622" s="424" t="s">
        <v>359</v>
      </c>
      <c r="C622" s="400" t="s">
        <v>23</v>
      </c>
      <c r="D622" s="406">
        <f>D621*80</f>
        <v>0</v>
      </c>
      <c r="E622" s="402"/>
      <c r="F622" s="402">
        <f t="shared" si="12"/>
        <v>0</v>
      </c>
    </row>
    <row r="623" spans="1:6" ht="17.399999999999999" hidden="1" customHeight="1">
      <c r="A623" s="423" t="s">
        <v>194</v>
      </c>
      <c r="B623" s="424" t="s">
        <v>21</v>
      </c>
      <c r="C623" s="400" t="s">
        <v>4</v>
      </c>
      <c r="D623" s="406">
        <f>D621*12</f>
        <v>0</v>
      </c>
      <c r="E623" s="402"/>
      <c r="F623" s="402">
        <f t="shared" si="12"/>
        <v>0</v>
      </c>
    </row>
    <row r="624" spans="1:6" ht="17.399999999999999" hidden="1" customHeight="1">
      <c r="A624" s="423" t="s">
        <v>90</v>
      </c>
      <c r="B624" s="424" t="s">
        <v>453</v>
      </c>
      <c r="C624" s="400"/>
      <c r="D624" s="406"/>
      <c r="E624" s="402"/>
      <c r="F624" s="402"/>
    </row>
    <row r="625" spans="1:7" ht="17.399999999999999" hidden="1" customHeight="1">
      <c r="A625" s="423" t="s">
        <v>196</v>
      </c>
      <c r="B625" s="424" t="s">
        <v>20</v>
      </c>
      <c r="C625" s="400" t="s">
        <v>10</v>
      </c>
      <c r="D625" s="406">
        <v>0</v>
      </c>
      <c r="E625" s="402"/>
      <c r="F625" s="402">
        <f t="shared" si="12"/>
        <v>0</v>
      </c>
    </row>
    <row r="626" spans="1:7" ht="15.5" hidden="1">
      <c r="A626" s="423" t="s">
        <v>197</v>
      </c>
      <c r="B626" s="424" t="s">
        <v>22</v>
      </c>
      <c r="C626" s="400" t="s">
        <v>23</v>
      </c>
      <c r="D626" s="406">
        <f>D625*80</f>
        <v>0</v>
      </c>
      <c r="E626" s="402"/>
      <c r="F626" s="402">
        <f t="shared" si="12"/>
        <v>0</v>
      </c>
    </row>
    <row r="627" spans="1:7" ht="15.5" hidden="1">
      <c r="A627" s="423" t="s">
        <v>198</v>
      </c>
      <c r="B627" s="424" t="s">
        <v>21</v>
      </c>
      <c r="C627" s="400" t="s">
        <v>4</v>
      </c>
      <c r="D627" s="406">
        <f>D625*12</f>
        <v>0</v>
      </c>
      <c r="E627" s="402"/>
      <c r="F627" s="402">
        <f t="shared" si="12"/>
        <v>0</v>
      </c>
    </row>
    <row r="628" spans="1:7" ht="15.5" hidden="1">
      <c r="A628" s="423" t="s">
        <v>91</v>
      </c>
      <c r="B628" s="424" t="s">
        <v>454</v>
      </c>
      <c r="C628" s="400" t="s">
        <v>4</v>
      </c>
      <c r="D628" s="406">
        <v>0</v>
      </c>
      <c r="E628" s="402"/>
      <c r="F628" s="402">
        <f t="shared" si="12"/>
        <v>0</v>
      </c>
    </row>
    <row r="629" spans="1:7" s="385" customFormat="1" ht="15.5">
      <c r="A629" s="423" t="s">
        <v>92</v>
      </c>
      <c r="B629" s="424" t="s">
        <v>455</v>
      </c>
      <c r="C629" s="400"/>
      <c r="D629" s="406"/>
      <c r="E629" s="402"/>
      <c r="F629" s="402"/>
      <c r="G629" s="382"/>
    </row>
    <row r="630" spans="1:7" s="385" customFormat="1" ht="15.5">
      <c r="A630" s="423" t="s">
        <v>201</v>
      </c>
      <c r="B630" s="426" t="s">
        <v>456</v>
      </c>
      <c r="C630" s="400" t="s">
        <v>4</v>
      </c>
      <c r="D630" s="406">
        <f>8.88*7.933+1.8*27.24</f>
        <v>119.47704</v>
      </c>
      <c r="E630" s="402"/>
      <c r="F630" s="402">
        <f>D630*E630</f>
        <v>0</v>
      </c>
      <c r="G630" s="382"/>
    </row>
    <row r="631" spans="1:7" ht="15.5">
      <c r="A631" s="423" t="s">
        <v>457</v>
      </c>
      <c r="B631" s="426" t="s">
        <v>458</v>
      </c>
      <c r="C631" s="427" t="s">
        <v>10</v>
      </c>
      <c r="D631" s="428">
        <f>D630*0.1</f>
        <v>11.947704000000002</v>
      </c>
      <c r="E631" s="407"/>
      <c r="F631" s="402">
        <f>D631*E631</f>
        <v>0</v>
      </c>
    </row>
    <row r="632" spans="1:7" ht="15.5">
      <c r="A632" s="423" t="s">
        <v>459</v>
      </c>
      <c r="B632" s="424" t="s">
        <v>460</v>
      </c>
      <c r="C632" s="400" t="s">
        <v>23</v>
      </c>
      <c r="D632" s="406">
        <f>D630*3</f>
        <v>358.43112000000002</v>
      </c>
      <c r="E632" s="402"/>
      <c r="F632" s="402">
        <f t="shared" si="12"/>
        <v>0</v>
      </c>
    </row>
    <row r="633" spans="1:7" ht="15.5">
      <c r="A633" s="423" t="s">
        <v>461</v>
      </c>
      <c r="B633" s="424" t="s">
        <v>93</v>
      </c>
      <c r="C633" s="400" t="s">
        <v>4</v>
      </c>
      <c r="D633" s="406">
        <f>D630</f>
        <v>119.47704</v>
      </c>
      <c r="E633" s="402"/>
      <c r="F633" s="402">
        <f t="shared" si="12"/>
        <v>0</v>
      </c>
    </row>
    <row r="634" spans="1:7" ht="15.5">
      <c r="A634" s="423" t="s">
        <v>94</v>
      </c>
      <c r="B634" s="429" t="s">
        <v>95</v>
      </c>
      <c r="C634" s="400"/>
      <c r="D634" s="400"/>
      <c r="E634" s="402"/>
      <c r="F634" s="402"/>
    </row>
    <row r="635" spans="1:7" ht="46.5">
      <c r="A635" s="423" t="s">
        <v>462</v>
      </c>
      <c r="B635" s="430" t="s">
        <v>463</v>
      </c>
      <c r="C635" s="400" t="s">
        <v>4</v>
      </c>
      <c r="D635" s="400">
        <f>28.24*0.44*2</f>
        <v>24.851199999999999</v>
      </c>
      <c r="E635" s="402"/>
      <c r="F635" s="402">
        <f>D635*E635</f>
        <v>0</v>
      </c>
    </row>
    <row r="636" spans="1:7" ht="15.5">
      <c r="A636" s="423" t="s">
        <v>464</v>
      </c>
      <c r="B636" s="426" t="s">
        <v>96</v>
      </c>
      <c r="C636" s="400" t="s">
        <v>10</v>
      </c>
      <c r="D636" s="400">
        <f>(28.24)*0.4*0.4</f>
        <v>4.5183999999999997</v>
      </c>
      <c r="E636" s="402"/>
      <c r="F636" s="402">
        <f>D636*E636</f>
        <v>0</v>
      </c>
    </row>
    <row r="637" spans="1:7" ht="15.5">
      <c r="A637" s="423" t="s">
        <v>465</v>
      </c>
      <c r="B637" s="426" t="s">
        <v>97</v>
      </c>
      <c r="C637" s="400" t="s">
        <v>10</v>
      </c>
      <c r="D637" s="400">
        <f>(28.24)*0.4*0.1</f>
        <v>1.1295999999999999</v>
      </c>
      <c r="E637" s="402"/>
      <c r="F637" s="402">
        <f>D637*E637</f>
        <v>0</v>
      </c>
    </row>
    <row r="638" spans="1:7" ht="15.5">
      <c r="A638" s="423" t="s">
        <v>94</v>
      </c>
      <c r="B638" s="429" t="s">
        <v>466</v>
      </c>
      <c r="C638" s="400"/>
      <c r="D638" s="400"/>
      <c r="E638" s="402"/>
      <c r="F638" s="402"/>
    </row>
    <row r="639" spans="1:7" ht="46.5">
      <c r="A639" s="423" t="s">
        <v>462</v>
      </c>
      <c r="B639" s="430" t="s">
        <v>467</v>
      </c>
      <c r="C639" s="400" t="s">
        <v>4</v>
      </c>
      <c r="D639" s="400">
        <f>27.24*1.5</f>
        <v>40.86</v>
      </c>
      <c r="E639" s="402"/>
      <c r="F639" s="402">
        <f t="shared" si="12"/>
        <v>0</v>
      </c>
    </row>
    <row r="640" spans="1:7" ht="15.5">
      <c r="A640" s="421" t="s">
        <v>24</v>
      </c>
      <c r="B640" s="422" t="s">
        <v>468</v>
      </c>
      <c r="C640" s="414"/>
      <c r="D640" s="406"/>
      <c r="E640" s="431"/>
      <c r="F640" s="402"/>
    </row>
    <row r="641" spans="1:6" ht="15.5" hidden="1">
      <c r="A641" s="423" t="s">
        <v>26</v>
      </c>
      <c r="B641" s="424" t="s">
        <v>469</v>
      </c>
      <c r="C641" s="400" t="s">
        <v>4</v>
      </c>
      <c r="D641" s="406">
        <f>(10.18*0.6*2+7.93*0.6*2)*0</f>
        <v>0</v>
      </c>
      <c r="E641" s="402"/>
      <c r="F641" s="402">
        <f>D641*E641</f>
        <v>0</v>
      </c>
    </row>
    <row r="642" spans="1:6" ht="15.5" hidden="1">
      <c r="A642" s="423" t="s">
        <v>26</v>
      </c>
      <c r="B642" s="424" t="s">
        <v>470</v>
      </c>
      <c r="C642" s="400" t="s">
        <v>4</v>
      </c>
      <c r="D642" s="406">
        <f>((10.18*2+7.93*2+27.24*3)*0.66+2*10.18*1+7.93*1*2)*0</f>
        <v>0</v>
      </c>
      <c r="E642" s="402"/>
      <c r="F642" s="402">
        <f>D642*E642</f>
        <v>0</v>
      </c>
    </row>
    <row r="643" spans="1:6" ht="15.5" hidden="1">
      <c r="A643" s="423" t="s">
        <v>26</v>
      </c>
      <c r="B643" s="424" t="s">
        <v>471</v>
      </c>
      <c r="C643" s="400" t="s">
        <v>182</v>
      </c>
      <c r="D643" s="406">
        <v>0</v>
      </c>
      <c r="E643" s="402"/>
      <c r="F643" s="402">
        <f t="shared" si="12"/>
        <v>0</v>
      </c>
    </row>
    <row r="644" spans="1:6" ht="15.5" hidden="1">
      <c r="A644" s="423" t="s">
        <v>399</v>
      </c>
      <c r="B644" s="424" t="s">
        <v>472</v>
      </c>
      <c r="C644" s="400" t="s">
        <v>4</v>
      </c>
      <c r="D644" s="406">
        <f>4*3*0.2*4*0</f>
        <v>0</v>
      </c>
      <c r="E644" s="402"/>
      <c r="F644" s="402">
        <f>D644*E644</f>
        <v>0</v>
      </c>
    </row>
    <row r="645" spans="1:6" ht="31" hidden="1">
      <c r="A645" s="423" t="s">
        <v>400</v>
      </c>
      <c r="B645" s="425" t="s">
        <v>473</v>
      </c>
      <c r="C645" s="400"/>
      <c r="D645" s="406"/>
      <c r="E645" s="402"/>
      <c r="F645" s="402"/>
    </row>
    <row r="646" spans="1:6" ht="15.5" hidden="1">
      <c r="A646" s="423" t="s">
        <v>474</v>
      </c>
      <c r="B646" s="424" t="s">
        <v>20</v>
      </c>
      <c r="C646" s="400" t="s">
        <v>10</v>
      </c>
      <c r="D646" s="406">
        <f>25*4*0.15*0.2*0</f>
        <v>0</v>
      </c>
      <c r="E646" s="402"/>
      <c r="F646" s="402">
        <f t="shared" si="12"/>
        <v>0</v>
      </c>
    </row>
    <row r="647" spans="1:6" ht="15.5" hidden="1">
      <c r="A647" s="423" t="s">
        <v>475</v>
      </c>
      <c r="B647" s="424" t="s">
        <v>22</v>
      </c>
      <c r="C647" s="400" t="s">
        <v>23</v>
      </c>
      <c r="D647" s="406">
        <f>D646*80</f>
        <v>0</v>
      </c>
      <c r="E647" s="402"/>
      <c r="F647" s="402">
        <f t="shared" si="12"/>
        <v>0</v>
      </c>
    </row>
    <row r="648" spans="1:6" ht="15.5" hidden="1">
      <c r="A648" s="423" t="s">
        <v>476</v>
      </c>
      <c r="B648" s="424" t="s">
        <v>21</v>
      </c>
      <c r="C648" s="400" t="s">
        <v>4</v>
      </c>
      <c r="D648" s="406">
        <f>D646*12</f>
        <v>0</v>
      </c>
      <c r="E648" s="402"/>
      <c r="F648" s="402">
        <f t="shared" si="12"/>
        <v>0</v>
      </c>
    </row>
    <row r="649" spans="1:6" ht="15.5" hidden="1">
      <c r="A649" s="423" t="s">
        <v>27</v>
      </c>
      <c r="B649" s="424" t="s">
        <v>99</v>
      </c>
      <c r="C649" s="400"/>
      <c r="D649" s="406"/>
      <c r="E649" s="402"/>
      <c r="F649" s="402"/>
    </row>
    <row r="650" spans="1:6" ht="15.5" hidden="1">
      <c r="A650" s="423" t="s">
        <v>209</v>
      </c>
      <c r="B650" s="424" t="s">
        <v>20</v>
      </c>
      <c r="C650" s="400" t="s">
        <v>10</v>
      </c>
      <c r="D650" s="406">
        <v>0</v>
      </c>
      <c r="E650" s="402"/>
      <c r="F650" s="402">
        <f t="shared" si="12"/>
        <v>0</v>
      </c>
    </row>
    <row r="651" spans="1:6" ht="15.5" hidden="1">
      <c r="A651" s="423" t="s">
        <v>210</v>
      </c>
      <c r="B651" s="424" t="s">
        <v>22</v>
      </c>
      <c r="C651" s="400" t="s">
        <v>23</v>
      </c>
      <c r="D651" s="406">
        <f>D650*80</f>
        <v>0</v>
      </c>
      <c r="E651" s="402"/>
      <c r="F651" s="402">
        <f t="shared" si="12"/>
        <v>0</v>
      </c>
    </row>
    <row r="652" spans="1:6" ht="15.5" hidden="1">
      <c r="A652" s="423" t="s">
        <v>211</v>
      </c>
      <c r="B652" s="424" t="s">
        <v>100</v>
      </c>
      <c r="C652" s="400" t="s">
        <v>4</v>
      </c>
      <c r="D652" s="406">
        <f>D650*2</f>
        <v>0</v>
      </c>
      <c r="E652" s="402"/>
      <c r="F652" s="402">
        <f t="shared" si="12"/>
        <v>0</v>
      </c>
    </row>
    <row r="653" spans="1:6" ht="15.5" hidden="1">
      <c r="A653" s="423" t="s">
        <v>101</v>
      </c>
      <c r="B653" s="424" t="s">
        <v>477</v>
      </c>
      <c r="C653" s="400"/>
      <c r="D653" s="406"/>
      <c r="E653" s="402"/>
      <c r="F653" s="402">
        <f t="shared" si="12"/>
        <v>0</v>
      </c>
    </row>
    <row r="654" spans="1:6" ht="15.5" hidden="1">
      <c r="A654" s="423" t="s">
        <v>478</v>
      </c>
      <c r="B654" s="424" t="s">
        <v>20</v>
      </c>
      <c r="C654" s="400" t="s">
        <v>10</v>
      </c>
      <c r="D654" s="406">
        <v>0</v>
      </c>
      <c r="E654" s="402"/>
      <c r="F654" s="402">
        <f t="shared" si="12"/>
        <v>0</v>
      </c>
    </row>
    <row r="655" spans="1:6" ht="15.5" hidden="1">
      <c r="A655" s="423" t="s">
        <v>479</v>
      </c>
      <c r="B655" s="424" t="s">
        <v>480</v>
      </c>
      <c r="C655" s="400" t="s">
        <v>23</v>
      </c>
      <c r="D655" s="406">
        <v>0</v>
      </c>
      <c r="E655" s="402"/>
      <c r="F655" s="402">
        <f t="shared" si="12"/>
        <v>0</v>
      </c>
    </row>
    <row r="656" spans="1:6" ht="15.5" hidden="1">
      <c r="A656" s="423" t="s">
        <v>481</v>
      </c>
      <c r="B656" s="424" t="s">
        <v>100</v>
      </c>
      <c r="C656" s="400" t="s">
        <v>4</v>
      </c>
      <c r="D656" s="406">
        <v>0</v>
      </c>
      <c r="E656" s="402"/>
      <c r="F656" s="402">
        <f t="shared" si="12"/>
        <v>0</v>
      </c>
    </row>
    <row r="657" spans="1:6" ht="15.5" hidden="1">
      <c r="A657" s="423" t="s">
        <v>28</v>
      </c>
      <c r="B657" s="424" t="s">
        <v>482</v>
      </c>
      <c r="C657" s="400"/>
      <c r="D657" s="406"/>
      <c r="E657" s="402"/>
      <c r="F657" s="402"/>
    </row>
    <row r="658" spans="1:6" ht="15.5" hidden="1">
      <c r="A658" s="423"/>
      <c r="B658" s="424" t="s">
        <v>483</v>
      </c>
      <c r="C658" s="400"/>
      <c r="D658" s="406"/>
      <c r="E658" s="402"/>
      <c r="F658" s="402"/>
    </row>
    <row r="659" spans="1:6" s="433" customFormat="1" ht="15.5" hidden="1">
      <c r="A659" s="432" t="s">
        <v>484</v>
      </c>
      <c r="B659" s="426" t="s">
        <v>20</v>
      </c>
      <c r="C659" s="427" t="s">
        <v>10</v>
      </c>
      <c r="D659" s="428">
        <f>10*4*0.15*0.1*0</f>
        <v>0</v>
      </c>
      <c r="E659" s="407"/>
      <c r="F659" s="407">
        <f t="shared" si="12"/>
        <v>0</v>
      </c>
    </row>
    <row r="660" spans="1:6" ht="15.5" hidden="1">
      <c r="A660" s="423" t="s">
        <v>485</v>
      </c>
      <c r="B660" s="424" t="s">
        <v>22</v>
      </c>
      <c r="C660" s="400" t="s">
        <v>23</v>
      </c>
      <c r="D660" s="406">
        <f>D659*80</f>
        <v>0</v>
      </c>
      <c r="E660" s="402"/>
      <c r="F660" s="402">
        <f t="shared" si="12"/>
        <v>0</v>
      </c>
    </row>
    <row r="661" spans="1:6" ht="15.5" hidden="1">
      <c r="A661" s="423" t="s">
        <v>486</v>
      </c>
      <c r="B661" s="424" t="s">
        <v>100</v>
      </c>
      <c r="C661" s="400" t="s">
        <v>4</v>
      </c>
      <c r="D661" s="406">
        <f>D659*2</f>
        <v>0</v>
      </c>
      <c r="E661" s="402"/>
      <c r="F661" s="402">
        <f t="shared" si="12"/>
        <v>0</v>
      </c>
    </row>
    <row r="662" spans="1:6" ht="15.5" hidden="1">
      <c r="A662" s="423" t="s">
        <v>29</v>
      </c>
      <c r="B662" s="424" t="s">
        <v>487</v>
      </c>
      <c r="C662" s="400"/>
      <c r="D662" s="406"/>
      <c r="E662" s="402"/>
      <c r="F662" s="402">
        <f t="shared" si="12"/>
        <v>0</v>
      </c>
    </row>
    <row r="663" spans="1:6" ht="15.5" hidden="1">
      <c r="A663" s="423" t="s">
        <v>213</v>
      </c>
      <c r="B663" s="424" t="s">
        <v>20</v>
      </c>
      <c r="C663" s="400" t="s">
        <v>10</v>
      </c>
      <c r="D663" s="406">
        <v>0</v>
      </c>
      <c r="E663" s="402"/>
      <c r="F663" s="402">
        <f t="shared" si="12"/>
        <v>0</v>
      </c>
    </row>
    <row r="664" spans="1:6" ht="15.5" hidden="1">
      <c r="A664" s="423" t="s">
        <v>214</v>
      </c>
      <c r="B664" s="424" t="s">
        <v>22</v>
      </c>
      <c r="C664" s="400" t="s">
        <v>23</v>
      </c>
      <c r="D664" s="406">
        <v>0</v>
      </c>
      <c r="E664" s="402"/>
      <c r="F664" s="402">
        <f t="shared" si="12"/>
        <v>0</v>
      </c>
    </row>
    <row r="665" spans="1:6" ht="16" hidden="1" thickBot="1">
      <c r="A665" s="434" t="s">
        <v>215</v>
      </c>
      <c r="B665" s="435" t="s">
        <v>100</v>
      </c>
      <c r="C665" s="436" t="s">
        <v>4</v>
      </c>
      <c r="D665" s="406">
        <v>0</v>
      </c>
      <c r="E665" s="402"/>
      <c r="F665" s="402">
        <f t="shared" si="12"/>
        <v>0</v>
      </c>
    </row>
    <row r="666" spans="1:6" ht="15.5" hidden="1">
      <c r="A666" s="423" t="s">
        <v>216</v>
      </c>
      <c r="B666" s="424" t="s">
        <v>33</v>
      </c>
      <c r="C666" s="400"/>
      <c r="D666" s="406"/>
      <c r="E666" s="402"/>
      <c r="F666" s="402"/>
    </row>
    <row r="667" spans="1:6" ht="15.5" hidden="1">
      <c r="A667" s="423" t="s">
        <v>217</v>
      </c>
      <c r="B667" s="424" t="s">
        <v>488</v>
      </c>
      <c r="C667" s="400" t="s">
        <v>4</v>
      </c>
      <c r="D667" s="406">
        <f>D643*2*1.1</f>
        <v>0</v>
      </c>
      <c r="E667" s="402"/>
      <c r="F667" s="402">
        <f t="shared" si="12"/>
        <v>0</v>
      </c>
    </row>
    <row r="668" spans="1:6" ht="15.5" hidden="1">
      <c r="A668" s="423" t="s">
        <v>489</v>
      </c>
      <c r="B668" s="424" t="s">
        <v>490</v>
      </c>
      <c r="C668" s="400" t="s">
        <v>4</v>
      </c>
      <c r="D668" s="406">
        <v>0</v>
      </c>
      <c r="E668" s="402"/>
      <c r="F668" s="402">
        <f t="shared" si="12"/>
        <v>0</v>
      </c>
    </row>
    <row r="669" spans="1:6" ht="15.5" hidden="1">
      <c r="A669" s="423" t="s">
        <v>491</v>
      </c>
      <c r="B669" s="424" t="s">
        <v>103</v>
      </c>
      <c r="C669" s="400"/>
      <c r="D669" s="406"/>
      <c r="E669" s="402"/>
      <c r="F669" s="402"/>
    </row>
    <row r="670" spans="1:6" s="433" customFormat="1" ht="15.5" hidden="1">
      <c r="A670" s="432"/>
      <c r="B670" s="426" t="s">
        <v>492</v>
      </c>
      <c r="C670" s="427" t="s">
        <v>4</v>
      </c>
      <c r="D670" s="437">
        <v>0</v>
      </c>
      <c r="E670" s="407"/>
      <c r="F670" s="407">
        <f>D670*E670</f>
        <v>0</v>
      </c>
    </row>
    <row r="671" spans="1:6" ht="17.5" hidden="1">
      <c r="A671" s="423" t="s">
        <v>491</v>
      </c>
      <c r="B671" s="424" t="s">
        <v>493</v>
      </c>
      <c r="C671" s="400" t="s">
        <v>104</v>
      </c>
      <c r="D671" s="438">
        <f>D670</f>
        <v>0</v>
      </c>
      <c r="E671" s="402"/>
      <c r="F671" s="402">
        <f t="shared" si="12"/>
        <v>0</v>
      </c>
    </row>
    <row r="672" spans="1:6" ht="15.5">
      <c r="A672" s="421" t="s">
        <v>6</v>
      </c>
      <c r="B672" s="422" t="s">
        <v>34</v>
      </c>
      <c r="C672" s="400"/>
      <c r="D672" s="406"/>
      <c r="E672" s="402"/>
      <c r="F672" s="402"/>
    </row>
    <row r="673" spans="1:6" ht="15.5">
      <c r="A673" s="423" t="s">
        <v>221</v>
      </c>
      <c r="B673" s="424" t="s">
        <v>494</v>
      </c>
      <c r="C673" s="400" t="s">
        <v>9</v>
      </c>
      <c r="D673" s="406">
        <v>3</v>
      </c>
      <c r="E673" s="402"/>
      <c r="F673" s="402">
        <f t="shared" si="12"/>
        <v>0</v>
      </c>
    </row>
    <row r="674" spans="1:6" ht="15.5">
      <c r="A674" s="423" t="s">
        <v>221</v>
      </c>
      <c r="B674" s="424" t="s">
        <v>495</v>
      </c>
      <c r="C674" s="400" t="s">
        <v>9</v>
      </c>
      <c r="D674" s="406">
        <v>3</v>
      </c>
      <c r="E674" s="402"/>
      <c r="F674" s="402">
        <f>D674*E674</f>
        <v>0</v>
      </c>
    </row>
    <row r="675" spans="1:6" ht="15.5">
      <c r="A675" s="423" t="s">
        <v>30</v>
      </c>
      <c r="B675" s="422" t="s">
        <v>35</v>
      </c>
      <c r="C675" s="400"/>
      <c r="D675" s="406"/>
      <c r="E675" s="402"/>
      <c r="F675" s="402"/>
    </row>
    <row r="676" spans="1:6" ht="15.5">
      <c r="A676" s="423" t="s">
        <v>496</v>
      </c>
      <c r="B676" s="424" t="s">
        <v>497</v>
      </c>
      <c r="C676" s="400" t="s">
        <v>182</v>
      </c>
      <c r="D676" s="406">
        <v>1</v>
      </c>
      <c r="E676" s="402"/>
      <c r="F676" s="402">
        <f>D676*E676</f>
        <v>0</v>
      </c>
    </row>
    <row r="677" spans="1:6" ht="15.5">
      <c r="A677" s="423" t="s">
        <v>496</v>
      </c>
      <c r="B677" s="424" t="s">
        <v>105</v>
      </c>
      <c r="C677" s="400" t="s">
        <v>10</v>
      </c>
      <c r="D677" s="439">
        <v>3.87</v>
      </c>
      <c r="E677" s="402"/>
      <c r="F677" s="402">
        <f t="shared" si="12"/>
        <v>0</v>
      </c>
    </row>
    <row r="678" spans="1:6" ht="15.5">
      <c r="A678" s="423" t="s">
        <v>498</v>
      </c>
      <c r="B678" s="405" t="s">
        <v>499</v>
      </c>
      <c r="C678" s="400" t="s">
        <v>10</v>
      </c>
      <c r="D678" s="439">
        <v>1.718</v>
      </c>
      <c r="E678" s="402"/>
      <c r="F678" s="402">
        <f t="shared" si="12"/>
        <v>0</v>
      </c>
    </row>
    <row r="679" spans="1:6" ht="15.5">
      <c r="A679" s="423" t="s">
        <v>500</v>
      </c>
      <c r="B679" s="424" t="s">
        <v>87</v>
      </c>
      <c r="C679" s="400" t="s">
        <v>10</v>
      </c>
      <c r="D679" s="439">
        <v>0.96799999999999997</v>
      </c>
      <c r="E679" s="402"/>
      <c r="F679" s="402">
        <f t="shared" si="12"/>
        <v>0</v>
      </c>
    </row>
    <row r="680" spans="1:6" ht="15.5">
      <c r="A680" s="423" t="s">
        <v>223</v>
      </c>
      <c r="B680" s="424" t="s">
        <v>106</v>
      </c>
      <c r="C680" s="400" t="s">
        <v>4</v>
      </c>
      <c r="D680" s="439">
        <v>19.350000000000001</v>
      </c>
      <c r="E680" s="402"/>
      <c r="F680" s="402">
        <f t="shared" si="12"/>
        <v>0</v>
      </c>
    </row>
    <row r="681" spans="1:6" ht="15.5">
      <c r="A681" s="423" t="s">
        <v>501</v>
      </c>
      <c r="B681" s="424" t="s">
        <v>502</v>
      </c>
      <c r="C681" s="400"/>
      <c r="D681" s="439"/>
      <c r="E681" s="402"/>
      <c r="F681" s="402"/>
    </row>
    <row r="682" spans="1:6" ht="15.5">
      <c r="A682" s="423" t="s">
        <v>503</v>
      </c>
      <c r="B682" s="424" t="s">
        <v>20</v>
      </c>
      <c r="C682" s="400" t="s">
        <v>10</v>
      </c>
      <c r="D682" s="439">
        <v>1.292</v>
      </c>
      <c r="E682" s="402"/>
      <c r="F682" s="402">
        <f t="shared" si="12"/>
        <v>0</v>
      </c>
    </row>
    <row r="683" spans="1:6" ht="15.5">
      <c r="A683" s="423" t="s">
        <v>504</v>
      </c>
      <c r="B683" s="424" t="s">
        <v>100</v>
      </c>
      <c r="C683" s="400" t="s">
        <v>4</v>
      </c>
      <c r="D683" s="439">
        <v>2.58</v>
      </c>
      <c r="E683" s="402"/>
      <c r="F683" s="402">
        <f t="shared" si="12"/>
        <v>0</v>
      </c>
    </row>
    <row r="684" spans="1:6" ht="15.5">
      <c r="A684" s="423" t="s">
        <v>505</v>
      </c>
      <c r="B684" s="424" t="s">
        <v>506</v>
      </c>
      <c r="C684" s="400" t="s">
        <v>4</v>
      </c>
      <c r="D684" s="439">
        <v>7.09</v>
      </c>
      <c r="E684" s="402"/>
      <c r="F684" s="402">
        <f t="shared" si="12"/>
        <v>0</v>
      </c>
    </row>
    <row r="685" spans="1:6" ht="15.5">
      <c r="A685" s="423" t="s">
        <v>31</v>
      </c>
      <c r="B685" s="422" t="s">
        <v>36</v>
      </c>
      <c r="C685" s="400"/>
      <c r="D685" s="406"/>
      <c r="E685" s="402"/>
      <c r="F685" s="402"/>
    </row>
    <row r="686" spans="1:6" ht="15.5">
      <c r="A686" s="423" t="s">
        <v>507</v>
      </c>
      <c r="B686" s="424" t="s">
        <v>105</v>
      </c>
      <c r="C686" s="400" t="s">
        <v>10</v>
      </c>
      <c r="D686" s="406">
        <f>2*2.2*2*0.3</f>
        <v>2.64</v>
      </c>
      <c r="E686" s="402"/>
      <c r="F686" s="402">
        <f t="shared" ref="F686:F719" si="13">D686*E686</f>
        <v>0</v>
      </c>
    </row>
    <row r="687" spans="1:6" ht="15.5">
      <c r="A687" s="423" t="s">
        <v>508</v>
      </c>
      <c r="B687" s="405" t="s">
        <v>107</v>
      </c>
      <c r="C687" s="400" t="s">
        <v>10</v>
      </c>
      <c r="D687" s="406">
        <f>2*2.2*2*0.05</f>
        <v>0.44000000000000006</v>
      </c>
      <c r="E687" s="402"/>
      <c r="F687" s="402">
        <f t="shared" si="13"/>
        <v>0</v>
      </c>
    </row>
    <row r="688" spans="1:6" ht="15.5">
      <c r="A688" s="423" t="s">
        <v>509</v>
      </c>
      <c r="B688" s="424" t="s">
        <v>87</v>
      </c>
      <c r="C688" s="400" t="s">
        <v>10</v>
      </c>
      <c r="D688" s="406">
        <f>2*2.2*2*0.05</f>
        <v>0.44000000000000006</v>
      </c>
      <c r="E688" s="402"/>
      <c r="F688" s="402">
        <f t="shared" si="13"/>
        <v>0</v>
      </c>
    </row>
    <row r="689" spans="1:6" ht="15.5">
      <c r="A689" s="423" t="s">
        <v>510</v>
      </c>
      <c r="B689" s="424" t="s">
        <v>106</v>
      </c>
      <c r="C689" s="400" t="s">
        <v>4</v>
      </c>
      <c r="D689" s="406">
        <f>(2*0.3)*2</f>
        <v>1.2</v>
      </c>
      <c r="E689" s="402"/>
      <c r="F689" s="402">
        <f t="shared" si="13"/>
        <v>0</v>
      </c>
    </row>
    <row r="690" spans="1:6" ht="15.5">
      <c r="A690" s="423" t="s">
        <v>32</v>
      </c>
      <c r="B690" s="424" t="s">
        <v>511</v>
      </c>
      <c r="C690" s="400"/>
      <c r="D690" s="406"/>
      <c r="E690" s="402"/>
      <c r="F690" s="402"/>
    </row>
    <row r="691" spans="1:6" ht="15.5">
      <c r="A691" s="423" t="s">
        <v>512</v>
      </c>
      <c r="B691" s="424" t="s">
        <v>20</v>
      </c>
      <c r="C691" s="400" t="s">
        <v>10</v>
      </c>
      <c r="D691" s="406">
        <f>2*2.2*0.15</f>
        <v>0.66</v>
      </c>
      <c r="E691" s="402"/>
      <c r="F691" s="402">
        <f t="shared" si="13"/>
        <v>0</v>
      </c>
    </row>
    <row r="692" spans="1:6" ht="15.5">
      <c r="A692" s="423" t="s">
        <v>513</v>
      </c>
      <c r="B692" s="424" t="s">
        <v>302</v>
      </c>
      <c r="C692" s="400" t="s">
        <v>23</v>
      </c>
      <c r="D692" s="406">
        <f>D691*12</f>
        <v>7.92</v>
      </c>
      <c r="E692" s="402"/>
      <c r="F692" s="402">
        <f t="shared" si="13"/>
        <v>0</v>
      </c>
    </row>
    <row r="693" spans="1:6" ht="15.5">
      <c r="A693" s="423" t="s">
        <v>514</v>
      </c>
      <c r="B693" s="424" t="s">
        <v>100</v>
      </c>
      <c r="C693" s="400" t="s">
        <v>4</v>
      </c>
      <c r="D693" s="406">
        <f>D691*2</f>
        <v>1.32</v>
      </c>
      <c r="E693" s="402"/>
      <c r="F693" s="402">
        <f t="shared" si="13"/>
        <v>0</v>
      </c>
    </row>
    <row r="694" spans="1:6" ht="15.5" hidden="1">
      <c r="A694" s="423" t="s">
        <v>108</v>
      </c>
      <c r="B694" s="422" t="s">
        <v>515</v>
      </c>
      <c r="C694" s="400"/>
      <c r="D694" s="406"/>
      <c r="E694" s="402"/>
      <c r="F694" s="402">
        <f t="shared" si="13"/>
        <v>0</v>
      </c>
    </row>
    <row r="695" spans="1:6" ht="15.5" hidden="1">
      <c r="A695" s="423"/>
      <c r="B695" s="422" t="s">
        <v>516</v>
      </c>
      <c r="C695" s="400"/>
      <c r="D695" s="406"/>
      <c r="E695" s="402"/>
      <c r="F695" s="402">
        <f t="shared" si="13"/>
        <v>0</v>
      </c>
    </row>
    <row r="696" spans="1:6" ht="15.5" hidden="1">
      <c r="A696" s="423" t="s">
        <v>109</v>
      </c>
      <c r="B696" s="424" t="s">
        <v>20</v>
      </c>
      <c r="C696" s="400" t="s">
        <v>10</v>
      </c>
      <c r="D696" s="406">
        <v>0</v>
      </c>
      <c r="E696" s="402"/>
      <c r="F696" s="402">
        <f t="shared" si="13"/>
        <v>0</v>
      </c>
    </row>
    <row r="697" spans="1:6" ht="15.5" hidden="1">
      <c r="A697" s="423" t="s">
        <v>110</v>
      </c>
      <c r="B697" s="424" t="s">
        <v>302</v>
      </c>
      <c r="C697" s="400" t="s">
        <v>23</v>
      </c>
      <c r="D697" s="406">
        <v>0</v>
      </c>
      <c r="E697" s="402"/>
      <c r="F697" s="402">
        <f t="shared" si="13"/>
        <v>0</v>
      </c>
    </row>
    <row r="698" spans="1:6" ht="15.5" hidden="1">
      <c r="A698" s="423" t="s">
        <v>111</v>
      </c>
      <c r="B698" s="424" t="s">
        <v>517</v>
      </c>
      <c r="C698" s="400" t="s">
        <v>4</v>
      </c>
      <c r="D698" s="406">
        <v>0</v>
      </c>
      <c r="E698" s="402"/>
      <c r="F698" s="402">
        <f t="shared" si="13"/>
        <v>0</v>
      </c>
    </row>
    <row r="699" spans="1:6" ht="15.5" hidden="1">
      <c r="A699" s="423" t="s">
        <v>112</v>
      </c>
      <c r="B699" s="424" t="s">
        <v>518</v>
      </c>
      <c r="C699" s="400"/>
      <c r="D699" s="406"/>
      <c r="E699" s="402"/>
      <c r="F699" s="402">
        <f t="shared" si="13"/>
        <v>0</v>
      </c>
    </row>
    <row r="700" spans="1:6" ht="15.5" hidden="1">
      <c r="A700" s="423" t="s">
        <v>401</v>
      </c>
      <c r="B700" s="424" t="s">
        <v>20</v>
      </c>
      <c r="C700" s="400" t="s">
        <v>10</v>
      </c>
      <c r="D700" s="406">
        <v>0</v>
      </c>
      <c r="E700" s="402"/>
      <c r="F700" s="402">
        <f t="shared" si="13"/>
        <v>0</v>
      </c>
    </row>
    <row r="701" spans="1:6" ht="15.5" hidden="1">
      <c r="A701" s="423" t="s">
        <v>113</v>
      </c>
      <c r="B701" s="424" t="s">
        <v>302</v>
      </c>
      <c r="C701" s="400" t="s">
        <v>23</v>
      </c>
      <c r="D701" s="406">
        <v>0</v>
      </c>
      <c r="E701" s="402"/>
      <c r="F701" s="402">
        <f t="shared" si="13"/>
        <v>0</v>
      </c>
    </row>
    <row r="702" spans="1:6" ht="15.5" hidden="1">
      <c r="A702" s="423" t="s">
        <v>284</v>
      </c>
      <c r="B702" s="424" t="s">
        <v>517</v>
      </c>
      <c r="C702" s="400" t="s">
        <v>4</v>
      </c>
      <c r="D702" s="406">
        <v>0</v>
      </c>
      <c r="E702" s="402"/>
      <c r="F702" s="402">
        <f t="shared" si="13"/>
        <v>0</v>
      </c>
    </row>
    <row r="703" spans="1:6" ht="15.5">
      <c r="A703" s="423" t="s">
        <v>519</v>
      </c>
      <c r="B703" s="422" t="s">
        <v>114</v>
      </c>
      <c r="C703" s="400"/>
      <c r="D703" s="406"/>
      <c r="E703" s="402"/>
      <c r="F703" s="402"/>
    </row>
    <row r="704" spans="1:6" ht="15.5">
      <c r="A704" s="423" t="s">
        <v>520</v>
      </c>
      <c r="B704" s="424" t="s">
        <v>521</v>
      </c>
      <c r="C704" s="400" t="s">
        <v>4</v>
      </c>
      <c r="D704" s="406">
        <f>7*1.4*3</f>
        <v>29.4</v>
      </c>
      <c r="E704" s="402"/>
      <c r="F704" s="402">
        <f>D704*E704</f>
        <v>0</v>
      </c>
    </row>
    <row r="705" spans="1:6" ht="15.5">
      <c r="A705" s="423" t="s">
        <v>520</v>
      </c>
      <c r="B705" s="424" t="s">
        <v>522</v>
      </c>
      <c r="C705" s="400" t="s">
        <v>9</v>
      </c>
      <c r="D705" s="406">
        <v>3</v>
      </c>
      <c r="E705" s="402"/>
      <c r="F705" s="402">
        <f t="shared" si="13"/>
        <v>0</v>
      </c>
    </row>
    <row r="706" spans="1:6" ht="15.5">
      <c r="A706" s="423" t="s">
        <v>520</v>
      </c>
      <c r="B706" s="424" t="s">
        <v>523</v>
      </c>
      <c r="C706" s="400" t="s">
        <v>7</v>
      </c>
      <c r="D706" s="406">
        <f>6*3</f>
        <v>18</v>
      </c>
      <c r="E706" s="402"/>
      <c r="F706" s="402">
        <f>D706*E706</f>
        <v>0</v>
      </c>
    </row>
    <row r="707" spans="1:6" ht="16" thickBot="1">
      <c r="A707" s="423" t="s">
        <v>524</v>
      </c>
      <c r="B707" s="424" t="s">
        <v>525</v>
      </c>
      <c r="C707" s="400" t="s">
        <v>9</v>
      </c>
      <c r="D707" s="406">
        <v>3</v>
      </c>
      <c r="E707" s="402"/>
      <c r="F707" s="402">
        <f t="shared" si="13"/>
        <v>0</v>
      </c>
    </row>
    <row r="708" spans="1:6" ht="17.399999999999999" customHeight="1" thickBot="1">
      <c r="A708" s="408"/>
      <c r="B708" s="417" t="s">
        <v>115</v>
      </c>
      <c r="C708" s="393"/>
      <c r="D708" s="394"/>
      <c r="E708" s="411"/>
      <c r="F708" s="411">
        <f>SUM(F615:F707)</f>
        <v>0</v>
      </c>
    </row>
    <row r="709" spans="1:6" ht="16" thickBot="1">
      <c r="A709" s="408"/>
      <c r="B709" s="409" t="s">
        <v>526</v>
      </c>
      <c r="C709" s="393"/>
      <c r="D709" s="394"/>
      <c r="E709" s="411"/>
      <c r="F709" s="411">
        <f>F612+F708</f>
        <v>0</v>
      </c>
    </row>
    <row r="710" spans="1:6" s="433" customFormat="1" ht="15.5" hidden="1">
      <c r="A710" s="440">
        <v>3</v>
      </c>
      <c r="B710" s="441" t="s">
        <v>527</v>
      </c>
      <c r="C710" s="442"/>
      <c r="D710" s="428"/>
      <c r="E710" s="407"/>
      <c r="F710" s="407"/>
    </row>
    <row r="711" spans="1:6" ht="15.5" hidden="1">
      <c r="A711" s="423" t="s">
        <v>116</v>
      </c>
      <c r="B711" s="424" t="s">
        <v>117</v>
      </c>
      <c r="C711" s="400"/>
      <c r="D711" s="400"/>
      <c r="E711" s="402"/>
      <c r="F711" s="402"/>
    </row>
    <row r="712" spans="1:6" ht="15.5" hidden="1">
      <c r="A712" s="404" t="s">
        <v>118</v>
      </c>
      <c r="B712" s="405" t="s">
        <v>528</v>
      </c>
      <c r="C712" s="400" t="s">
        <v>529</v>
      </c>
      <c r="D712" s="400">
        <v>0</v>
      </c>
      <c r="E712" s="443"/>
      <c r="F712" s="402">
        <f>D712*E712</f>
        <v>0</v>
      </c>
    </row>
    <row r="713" spans="1:6" ht="15.5" hidden="1">
      <c r="A713" s="404" t="s">
        <v>119</v>
      </c>
      <c r="B713" s="405" t="s">
        <v>120</v>
      </c>
      <c r="C713" s="400" t="s">
        <v>10</v>
      </c>
      <c r="D713" s="400">
        <f>(28.24*11.8)/100*0</f>
        <v>0</v>
      </c>
      <c r="E713" s="443"/>
      <c r="F713" s="402">
        <f>D713*E713</f>
        <v>0</v>
      </c>
    </row>
    <row r="714" spans="1:6" ht="15.5" hidden="1">
      <c r="A714" s="404" t="s">
        <v>121</v>
      </c>
      <c r="B714" s="405" t="s">
        <v>530</v>
      </c>
      <c r="C714" s="400" t="s">
        <v>7</v>
      </c>
      <c r="D714" s="400"/>
      <c r="E714" s="444"/>
      <c r="F714" s="402">
        <f>D714*E714</f>
        <v>0</v>
      </c>
    </row>
    <row r="715" spans="1:6" ht="15.5" hidden="1">
      <c r="A715" s="404" t="s">
        <v>119</v>
      </c>
      <c r="B715" s="405" t="s">
        <v>531</v>
      </c>
      <c r="C715" s="400" t="s">
        <v>7</v>
      </c>
      <c r="D715" s="400"/>
      <c r="E715" s="444"/>
      <c r="F715" s="402">
        <f t="shared" si="13"/>
        <v>0</v>
      </c>
    </row>
    <row r="716" spans="1:6" ht="15.5" hidden="1">
      <c r="A716" s="404" t="s">
        <v>532</v>
      </c>
      <c r="B716" s="405" t="s">
        <v>533</v>
      </c>
      <c r="C716" s="400" t="s">
        <v>7</v>
      </c>
      <c r="D716" s="400"/>
      <c r="E716" s="444"/>
      <c r="F716" s="402">
        <f t="shared" si="13"/>
        <v>0</v>
      </c>
    </row>
    <row r="717" spans="1:6" ht="15.5" hidden="1">
      <c r="A717" s="404" t="s">
        <v>534</v>
      </c>
      <c r="B717" s="405" t="s">
        <v>535</v>
      </c>
      <c r="C717" s="400" t="s">
        <v>7</v>
      </c>
      <c r="D717" s="400"/>
      <c r="E717" s="444"/>
      <c r="F717" s="402">
        <f t="shared" si="13"/>
        <v>0</v>
      </c>
    </row>
    <row r="718" spans="1:6" ht="15.5" hidden="1">
      <c r="A718" s="404" t="s">
        <v>536</v>
      </c>
      <c r="B718" s="405" t="s">
        <v>537</v>
      </c>
      <c r="C718" s="400" t="s">
        <v>7</v>
      </c>
      <c r="D718" s="400"/>
      <c r="E718" s="444"/>
      <c r="F718" s="402">
        <f t="shared" si="13"/>
        <v>0</v>
      </c>
    </row>
    <row r="719" spans="1:6" ht="16" hidden="1" thickBot="1">
      <c r="A719" s="404" t="s">
        <v>538</v>
      </c>
      <c r="B719" s="405" t="s">
        <v>122</v>
      </c>
      <c r="C719" s="400" t="s">
        <v>539</v>
      </c>
      <c r="D719" s="400">
        <v>0</v>
      </c>
      <c r="E719" s="402"/>
      <c r="F719" s="402">
        <f t="shared" si="13"/>
        <v>0</v>
      </c>
    </row>
    <row r="720" spans="1:6" ht="16" hidden="1" thickBot="1">
      <c r="A720" s="445"/>
      <c r="B720" s="409" t="s">
        <v>540</v>
      </c>
      <c r="C720" s="446"/>
      <c r="D720" s="447"/>
      <c r="E720" s="448"/>
      <c r="F720" s="411">
        <f>SUM(F712:F719)</f>
        <v>0</v>
      </c>
    </row>
    <row r="721" spans="1:6" ht="15.5" hidden="1">
      <c r="A721" s="449">
        <v>4</v>
      </c>
      <c r="B721" s="429" t="s">
        <v>541</v>
      </c>
      <c r="C721" s="420"/>
      <c r="D721" s="406"/>
      <c r="E721" s="403"/>
      <c r="F721" s="402"/>
    </row>
    <row r="722" spans="1:6" ht="15.5" hidden="1">
      <c r="A722" s="423" t="s">
        <v>123</v>
      </c>
      <c r="B722" s="424" t="s">
        <v>43</v>
      </c>
      <c r="C722" s="400"/>
      <c r="D722" s="406"/>
      <c r="E722" s="402"/>
      <c r="F722" s="402"/>
    </row>
    <row r="723" spans="1:6" ht="15.5" hidden="1">
      <c r="A723" s="423" t="s">
        <v>124</v>
      </c>
      <c r="B723" s="429" t="s">
        <v>44</v>
      </c>
      <c r="C723" s="400"/>
      <c r="D723" s="406"/>
      <c r="E723" s="402"/>
      <c r="F723" s="402"/>
    </row>
    <row r="724" spans="1:6" ht="15.5" hidden="1">
      <c r="A724" s="423" t="s">
        <v>542</v>
      </c>
      <c r="B724" s="424" t="s">
        <v>543</v>
      </c>
      <c r="C724" s="400" t="s">
        <v>4</v>
      </c>
      <c r="D724" s="406">
        <f>28.24*12*0</f>
        <v>0</v>
      </c>
      <c r="E724" s="402"/>
      <c r="F724" s="402">
        <f t="shared" ref="F724:F730" si="14">D724*E724</f>
        <v>0</v>
      </c>
    </row>
    <row r="725" spans="1:6" ht="15.5" hidden="1">
      <c r="A725" s="423" t="s">
        <v>125</v>
      </c>
      <c r="B725" s="429" t="s">
        <v>126</v>
      </c>
      <c r="C725" s="400"/>
      <c r="D725" s="406"/>
      <c r="E725" s="402"/>
      <c r="F725" s="402"/>
    </row>
    <row r="726" spans="1:6" ht="15.5" hidden="1">
      <c r="A726" s="423" t="s">
        <v>127</v>
      </c>
      <c r="B726" s="424" t="s">
        <v>544</v>
      </c>
      <c r="C726" s="400" t="s">
        <v>7</v>
      </c>
      <c r="D726" s="406">
        <v>0</v>
      </c>
      <c r="E726" s="402"/>
      <c r="F726" s="402">
        <f t="shared" si="14"/>
        <v>0</v>
      </c>
    </row>
    <row r="727" spans="1:6" ht="15.5" hidden="1">
      <c r="A727" s="423" t="s">
        <v>128</v>
      </c>
      <c r="B727" s="429" t="s">
        <v>325</v>
      </c>
      <c r="C727" s="400"/>
      <c r="D727" s="406"/>
      <c r="E727" s="402"/>
      <c r="F727" s="402"/>
    </row>
    <row r="728" spans="1:6" ht="15.5" hidden="1">
      <c r="A728" s="450" t="s">
        <v>129</v>
      </c>
      <c r="B728" s="424" t="s">
        <v>327</v>
      </c>
      <c r="C728" s="400" t="s">
        <v>9</v>
      </c>
      <c r="D728" s="406">
        <v>0</v>
      </c>
      <c r="E728" s="402"/>
      <c r="F728" s="402">
        <f t="shared" si="14"/>
        <v>0</v>
      </c>
    </row>
    <row r="729" spans="1:6" ht="15.5" hidden="1">
      <c r="A729" s="423" t="s">
        <v>246</v>
      </c>
      <c r="B729" s="429" t="s">
        <v>130</v>
      </c>
      <c r="C729" s="414"/>
      <c r="D729" s="406"/>
      <c r="E729" s="431"/>
      <c r="F729" s="402"/>
    </row>
    <row r="730" spans="1:6" ht="16" hidden="1" thickBot="1">
      <c r="A730" s="434" t="s">
        <v>247</v>
      </c>
      <c r="B730" s="424" t="s">
        <v>369</v>
      </c>
      <c r="C730" s="436" t="s">
        <v>4</v>
      </c>
      <c r="D730" s="406">
        <f>(12*2+28.24*2)*0.4*1.1</f>
        <v>35.411200000000001</v>
      </c>
      <c r="E730" s="451"/>
      <c r="F730" s="402">
        <f t="shared" si="14"/>
        <v>0</v>
      </c>
    </row>
    <row r="731" spans="1:6" ht="16" hidden="1" thickBot="1">
      <c r="A731" s="445"/>
      <c r="B731" s="452" t="s">
        <v>545</v>
      </c>
      <c r="C731" s="393"/>
      <c r="D731" s="394"/>
      <c r="E731" s="411"/>
      <c r="F731" s="411">
        <f>SUM(F724:F730)</f>
        <v>0</v>
      </c>
    </row>
    <row r="732" spans="1:6" ht="15.5">
      <c r="A732" s="412">
        <v>5</v>
      </c>
      <c r="B732" s="453" t="s">
        <v>546</v>
      </c>
      <c r="C732" s="400"/>
      <c r="D732" s="406"/>
      <c r="E732" s="402"/>
      <c r="F732" s="402"/>
    </row>
    <row r="733" spans="1:6" ht="15.5">
      <c r="A733" s="405" t="s">
        <v>49</v>
      </c>
      <c r="B733" s="453" t="s">
        <v>51</v>
      </c>
      <c r="C733" s="400"/>
      <c r="D733" s="406"/>
      <c r="E733" s="402"/>
      <c r="F733" s="402"/>
    </row>
    <row r="734" spans="1:6" ht="16" thickBot="1">
      <c r="A734" s="424" t="s">
        <v>50</v>
      </c>
      <c r="B734" s="454" t="s">
        <v>547</v>
      </c>
      <c r="C734" s="400" t="s">
        <v>131</v>
      </c>
      <c r="D734" s="406">
        <v>1</v>
      </c>
      <c r="E734" s="402"/>
      <c r="F734" s="402">
        <f>D734*E734</f>
        <v>0</v>
      </c>
    </row>
    <row r="735" spans="1:6" ht="16" thickBot="1">
      <c r="A735" s="445"/>
      <c r="B735" s="494" t="s">
        <v>548</v>
      </c>
      <c r="C735" s="393"/>
      <c r="D735" s="394"/>
      <c r="E735" s="411"/>
      <c r="F735" s="411">
        <f>F734</f>
        <v>0</v>
      </c>
    </row>
    <row r="736" spans="1:6" ht="15.5">
      <c r="A736" s="404">
        <v>6</v>
      </c>
      <c r="B736" s="455" t="s">
        <v>549</v>
      </c>
      <c r="C736" s="456"/>
      <c r="D736" s="415"/>
      <c r="E736" s="416"/>
      <c r="F736" s="402"/>
    </row>
    <row r="737" spans="1:6" ht="15.5">
      <c r="A737" s="457" t="s">
        <v>328</v>
      </c>
      <c r="B737" s="453" t="s">
        <v>550</v>
      </c>
      <c r="C737" s="414"/>
      <c r="D737" s="415"/>
      <c r="E737" s="431"/>
      <c r="F737" s="402"/>
    </row>
    <row r="738" spans="1:6" ht="15.5">
      <c r="A738" s="457" t="s">
        <v>329</v>
      </c>
      <c r="B738" s="450" t="s">
        <v>551</v>
      </c>
      <c r="C738" s="400" t="s">
        <v>9</v>
      </c>
      <c r="D738" s="406">
        <v>0</v>
      </c>
      <c r="E738" s="400"/>
      <c r="F738" s="402">
        <f t="shared" ref="F738:F745" si="15">D738*E738</f>
        <v>0</v>
      </c>
    </row>
    <row r="739" spans="1:6" ht="15.5">
      <c r="A739" s="457" t="s">
        <v>402</v>
      </c>
      <c r="B739" s="405" t="s">
        <v>552</v>
      </c>
      <c r="C739" s="400"/>
      <c r="D739" s="406">
        <v>0</v>
      </c>
      <c r="E739" s="402"/>
      <c r="F739" s="402">
        <f t="shared" si="15"/>
        <v>0</v>
      </c>
    </row>
    <row r="740" spans="1:6" ht="15.5">
      <c r="A740" s="457" t="s">
        <v>553</v>
      </c>
      <c r="B740" s="405" t="s">
        <v>554</v>
      </c>
      <c r="C740" s="400" t="s">
        <v>9</v>
      </c>
      <c r="D740" s="406">
        <v>0</v>
      </c>
      <c r="E740" s="402"/>
      <c r="F740" s="402">
        <f t="shared" si="15"/>
        <v>0</v>
      </c>
    </row>
    <row r="741" spans="1:6" ht="15.5">
      <c r="A741" s="457" t="s">
        <v>555</v>
      </c>
      <c r="B741" s="405" t="s">
        <v>259</v>
      </c>
      <c r="C741" s="400" t="s">
        <v>9</v>
      </c>
      <c r="D741" s="406">
        <v>0</v>
      </c>
      <c r="E741" s="402"/>
      <c r="F741" s="402">
        <f t="shared" si="15"/>
        <v>0</v>
      </c>
    </row>
    <row r="742" spans="1:6" ht="15.5">
      <c r="A742" s="457" t="s">
        <v>403</v>
      </c>
      <c r="B742" s="453" t="s">
        <v>556</v>
      </c>
      <c r="C742" s="414"/>
      <c r="D742" s="415"/>
      <c r="E742" s="431"/>
      <c r="F742" s="402"/>
    </row>
    <row r="743" spans="1:6" ht="15.5">
      <c r="A743" s="457" t="s">
        <v>404</v>
      </c>
      <c r="B743" s="450" t="s">
        <v>557</v>
      </c>
      <c r="C743" s="414"/>
      <c r="D743" s="415"/>
      <c r="E743" s="431"/>
      <c r="F743" s="402"/>
    </row>
    <row r="744" spans="1:6" ht="15.5">
      <c r="A744" s="457" t="s">
        <v>558</v>
      </c>
      <c r="B744" s="450" t="s">
        <v>559</v>
      </c>
      <c r="C744" s="400" t="s">
        <v>9</v>
      </c>
      <c r="D744" s="406">
        <v>0</v>
      </c>
      <c r="E744" s="402"/>
      <c r="F744" s="402">
        <f t="shared" si="15"/>
        <v>0</v>
      </c>
    </row>
    <row r="745" spans="1:6" ht="16" thickBot="1">
      <c r="A745" s="404" t="s">
        <v>560</v>
      </c>
      <c r="B745" s="450" t="s">
        <v>561</v>
      </c>
      <c r="C745" s="400" t="s">
        <v>4</v>
      </c>
      <c r="D745" s="406">
        <v>0</v>
      </c>
      <c r="E745" s="402"/>
      <c r="F745" s="402">
        <f t="shared" si="15"/>
        <v>0</v>
      </c>
    </row>
    <row r="746" spans="1:6" ht="16" thickBot="1">
      <c r="A746" s="458"/>
      <c r="B746" s="495" t="s">
        <v>562</v>
      </c>
      <c r="C746" s="393"/>
      <c r="D746" s="394"/>
      <c r="E746" s="411"/>
      <c r="F746" s="411">
        <f>SUM(F738:F745)</f>
        <v>0</v>
      </c>
    </row>
    <row r="747" spans="1:6" ht="15.5">
      <c r="A747" s="449">
        <v>7</v>
      </c>
      <c r="B747" s="429" t="s">
        <v>563</v>
      </c>
      <c r="C747" s="459"/>
      <c r="D747" s="460"/>
      <c r="E747" s="403"/>
      <c r="F747" s="402"/>
    </row>
    <row r="748" spans="1:6" ht="15.5" hidden="1">
      <c r="A748" s="450" t="s">
        <v>132</v>
      </c>
      <c r="B748" s="424" t="s">
        <v>564</v>
      </c>
      <c r="C748" s="400" t="s">
        <v>7</v>
      </c>
      <c r="D748" s="406">
        <v>0</v>
      </c>
      <c r="E748" s="402"/>
      <c r="F748" s="402">
        <f>D748*E748</f>
        <v>0</v>
      </c>
    </row>
    <row r="749" spans="1:6" ht="15.5" hidden="1">
      <c r="A749" s="450" t="s">
        <v>133</v>
      </c>
      <c r="B749" s="424" t="s">
        <v>565</v>
      </c>
      <c r="C749" s="400" t="s">
        <v>7</v>
      </c>
      <c r="D749" s="406">
        <v>0</v>
      </c>
      <c r="E749" s="402"/>
      <c r="F749" s="402">
        <f>D749*E749</f>
        <v>0</v>
      </c>
    </row>
    <row r="750" spans="1:6" ht="15.5">
      <c r="A750" s="450" t="s">
        <v>408</v>
      </c>
      <c r="B750" s="424" t="s">
        <v>566</v>
      </c>
      <c r="C750" s="400"/>
      <c r="D750" s="406"/>
      <c r="E750" s="402"/>
      <c r="F750" s="402"/>
    </row>
    <row r="751" spans="1:6" ht="15.5">
      <c r="A751" s="450"/>
      <c r="B751" s="424" t="s">
        <v>567</v>
      </c>
      <c r="C751" s="400" t="s">
        <v>4</v>
      </c>
      <c r="D751" s="406">
        <f>27.24*11.18</f>
        <v>304.54319999999996</v>
      </c>
      <c r="E751" s="402"/>
      <c r="F751" s="402">
        <f>D751*E751</f>
        <v>0</v>
      </c>
    </row>
    <row r="752" spans="1:6" ht="16" thickBot="1">
      <c r="A752" s="450"/>
      <c r="B752" s="424" t="s">
        <v>568</v>
      </c>
      <c r="C752" s="400" t="s">
        <v>4</v>
      </c>
      <c r="D752" s="406">
        <f>D751</f>
        <v>304.54319999999996</v>
      </c>
      <c r="E752" s="402"/>
      <c r="F752" s="402">
        <f>D752*E752</f>
        <v>0</v>
      </c>
    </row>
    <row r="753" spans="1:6" ht="16" thickBot="1">
      <c r="A753" s="445"/>
      <c r="B753" s="494" t="s">
        <v>569</v>
      </c>
      <c r="C753" s="393"/>
      <c r="D753" s="394"/>
      <c r="E753" s="448"/>
      <c r="F753" s="411">
        <f>SUM(F748:F752)</f>
        <v>0</v>
      </c>
    </row>
    <row r="754" spans="1:6" ht="21.65" customHeight="1">
      <c r="A754" s="412">
        <v>8</v>
      </c>
      <c r="B754" s="461" t="s">
        <v>570</v>
      </c>
      <c r="C754" s="456"/>
      <c r="D754" s="415"/>
      <c r="E754" s="416"/>
      <c r="F754" s="402"/>
    </row>
    <row r="755" spans="1:6" ht="15.5">
      <c r="A755" s="404" t="s">
        <v>335</v>
      </c>
      <c r="B755" s="461" t="s">
        <v>134</v>
      </c>
      <c r="C755" s="400"/>
      <c r="D755" s="406"/>
      <c r="E755" s="402"/>
      <c r="F755" s="402"/>
    </row>
    <row r="756" spans="1:6" ht="16" thickBot="1">
      <c r="A756" s="404" t="s">
        <v>337</v>
      </c>
      <c r="B756" s="405" t="s">
        <v>656</v>
      </c>
      <c r="C756" s="400" t="s">
        <v>529</v>
      </c>
      <c r="D756" s="406">
        <v>1</v>
      </c>
      <c r="E756" s="402"/>
      <c r="F756" s="402">
        <f>D756*E756</f>
        <v>0</v>
      </c>
    </row>
    <row r="757" spans="1:6" ht="15.5" hidden="1">
      <c r="A757" s="404" t="s">
        <v>337</v>
      </c>
      <c r="B757" s="405" t="s">
        <v>571</v>
      </c>
      <c r="C757" s="400" t="s">
        <v>9</v>
      </c>
      <c r="D757" s="406">
        <v>0</v>
      </c>
      <c r="E757" s="402"/>
      <c r="F757" s="402">
        <f>D757*E757</f>
        <v>0</v>
      </c>
    </row>
    <row r="758" spans="1:6" ht="15.5" hidden="1">
      <c r="A758" s="404" t="s">
        <v>572</v>
      </c>
      <c r="B758" s="405" t="s">
        <v>573</v>
      </c>
      <c r="C758" s="400" t="s">
        <v>9</v>
      </c>
      <c r="D758" s="406">
        <v>0</v>
      </c>
      <c r="E758" s="402"/>
      <c r="F758" s="402">
        <f t="shared" ref="F758:F767" si="16">D758*E758</f>
        <v>0</v>
      </c>
    </row>
    <row r="759" spans="1:6" ht="15.5" hidden="1">
      <c r="A759" s="404" t="s">
        <v>574</v>
      </c>
      <c r="B759" s="461" t="s">
        <v>135</v>
      </c>
      <c r="C759" s="400"/>
      <c r="D759" s="406"/>
      <c r="E759" s="402"/>
      <c r="F759" s="402"/>
    </row>
    <row r="760" spans="1:6" ht="15.5" hidden="1">
      <c r="A760" s="404" t="s">
        <v>575</v>
      </c>
      <c r="B760" s="405" t="s">
        <v>576</v>
      </c>
      <c r="C760" s="400" t="s">
        <v>9</v>
      </c>
      <c r="D760" s="400">
        <v>0</v>
      </c>
      <c r="E760" s="402"/>
      <c r="F760" s="402">
        <f t="shared" si="16"/>
        <v>0</v>
      </c>
    </row>
    <row r="761" spans="1:6" ht="15.5" hidden="1">
      <c r="A761" s="404" t="s">
        <v>577</v>
      </c>
      <c r="B761" s="405" t="s">
        <v>370</v>
      </c>
      <c r="C761" s="400" t="s">
        <v>9</v>
      </c>
      <c r="D761" s="400">
        <v>0</v>
      </c>
      <c r="E761" s="402"/>
      <c r="F761" s="402">
        <f t="shared" si="16"/>
        <v>0</v>
      </c>
    </row>
    <row r="762" spans="1:6" ht="15.5" hidden="1">
      <c r="A762" s="405" t="s">
        <v>578</v>
      </c>
      <c r="B762" s="399" t="s">
        <v>579</v>
      </c>
      <c r="C762" s="400"/>
      <c r="D762" s="400"/>
      <c r="E762" s="402"/>
      <c r="F762" s="402"/>
    </row>
    <row r="763" spans="1:6" ht="15.5" hidden="1">
      <c r="A763" s="405" t="s">
        <v>580</v>
      </c>
      <c r="B763" s="405" t="s">
        <v>581</v>
      </c>
      <c r="C763" s="400"/>
      <c r="D763" s="400"/>
      <c r="E763" s="402"/>
      <c r="F763" s="402"/>
    </row>
    <row r="764" spans="1:6" ht="15.5" hidden="1">
      <c r="A764" s="405" t="s">
        <v>582</v>
      </c>
      <c r="B764" s="405" t="s">
        <v>583</v>
      </c>
      <c r="C764" s="400" t="s">
        <v>9</v>
      </c>
      <c r="D764" s="400">
        <v>0</v>
      </c>
      <c r="E764" s="402"/>
      <c r="F764" s="402">
        <f t="shared" si="16"/>
        <v>0</v>
      </c>
    </row>
    <row r="765" spans="1:6" ht="15.5" hidden="1">
      <c r="A765" s="405" t="s">
        <v>584</v>
      </c>
      <c r="B765" s="399" t="s">
        <v>585</v>
      </c>
      <c r="C765" s="400"/>
      <c r="D765" s="400"/>
      <c r="E765" s="402"/>
      <c r="F765" s="402"/>
    </row>
    <row r="766" spans="1:6" ht="15.5" hidden="1">
      <c r="A766" s="405" t="s">
        <v>586</v>
      </c>
      <c r="B766" s="405" t="s">
        <v>587</v>
      </c>
      <c r="C766" s="400" t="s">
        <v>9</v>
      </c>
      <c r="D766" s="400">
        <v>0</v>
      </c>
      <c r="E766" s="402"/>
      <c r="F766" s="402">
        <f t="shared" si="16"/>
        <v>0</v>
      </c>
    </row>
    <row r="767" spans="1:6" ht="16" hidden="1" thickBot="1">
      <c r="A767" s="405" t="s">
        <v>588</v>
      </c>
      <c r="B767" s="405" t="s">
        <v>589</v>
      </c>
      <c r="C767" s="400" t="s">
        <v>9</v>
      </c>
      <c r="D767" s="400">
        <v>0</v>
      </c>
      <c r="E767" s="402"/>
      <c r="F767" s="402">
        <f t="shared" si="16"/>
        <v>0</v>
      </c>
    </row>
    <row r="768" spans="1:6" ht="16" thickBot="1">
      <c r="A768" s="445"/>
      <c r="B768" s="409" t="s">
        <v>590</v>
      </c>
      <c r="C768" s="446"/>
      <c r="D768" s="447"/>
      <c r="E768" s="448"/>
      <c r="F768" s="411">
        <f>SUM(F756:F767)</f>
        <v>0</v>
      </c>
    </row>
    <row r="769" spans="1:7" ht="15.5" hidden="1">
      <c r="A769" s="412">
        <v>9</v>
      </c>
      <c r="B769" s="399" t="s">
        <v>591</v>
      </c>
      <c r="C769" s="420"/>
      <c r="D769" s="401"/>
      <c r="E769" s="403"/>
      <c r="F769" s="402"/>
    </row>
    <row r="770" spans="1:7" ht="15.5" hidden="1">
      <c r="A770" s="412">
        <v>10</v>
      </c>
      <c r="B770" s="399" t="s">
        <v>592</v>
      </c>
      <c r="C770" s="400"/>
      <c r="D770" s="406"/>
      <c r="E770" s="402"/>
      <c r="F770" s="402"/>
    </row>
    <row r="771" spans="1:7" s="385" customFormat="1" ht="15.5" hidden="1">
      <c r="A771" s="404" t="s">
        <v>136</v>
      </c>
      <c r="B771" s="405" t="s">
        <v>593</v>
      </c>
      <c r="C771" s="400"/>
      <c r="D771" s="406"/>
      <c r="E771" s="402"/>
      <c r="F771" s="402"/>
      <c r="G771" s="382"/>
    </row>
    <row r="772" spans="1:7" ht="18.75" hidden="1" customHeight="1" thickBot="1">
      <c r="A772" s="404" t="s">
        <v>594</v>
      </c>
      <c r="B772" s="462" t="s">
        <v>595</v>
      </c>
      <c r="C772" s="400" t="s">
        <v>529</v>
      </c>
      <c r="D772" s="406">
        <v>0</v>
      </c>
      <c r="E772" s="402"/>
      <c r="F772" s="402">
        <f>D772*E772</f>
        <v>0</v>
      </c>
    </row>
    <row r="773" spans="1:7" ht="16" hidden="1" thickBot="1">
      <c r="A773" s="408"/>
      <c r="B773" s="452" t="s">
        <v>596</v>
      </c>
      <c r="C773" s="446"/>
      <c r="D773" s="447"/>
      <c r="E773" s="448"/>
      <c r="F773" s="411">
        <f>SUM(F772:F772)</f>
        <v>0</v>
      </c>
    </row>
    <row r="774" spans="1:7" ht="15.5">
      <c r="A774" s="412">
        <v>11</v>
      </c>
      <c r="B774" s="399" t="s">
        <v>597</v>
      </c>
      <c r="C774" s="420"/>
      <c r="D774" s="415"/>
      <c r="E774" s="416"/>
      <c r="F774" s="402"/>
    </row>
    <row r="775" spans="1:7" s="385" customFormat="1" ht="15.5">
      <c r="A775" s="404" t="s">
        <v>598</v>
      </c>
      <c r="B775" s="461" t="s">
        <v>137</v>
      </c>
      <c r="C775" s="463"/>
      <c r="D775" s="460"/>
      <c r="E775" s="463"/>
      <c r="F775" s="402"/>
      <c r="G775" s="382"/>
    </row>
    <row r="776" spans="1:7" s="385" customFormat="1" ht="15.5">
      <c r="A776" s="404" t="s">
        <v>599</v>
      </c>
      <c r="B776" s="462" t="s">
        <v>59</v>
      </c>
      <c r="C776" s="400" t="s">
        <v>4</v>
      </c>
      <c r="D776" s="406">
        <f>(27.24*2+7.93*2*2)*3.5</f>
        <v>301.69999999999993</v>
      </c>
      <c r="E776" s="402"/>
      <c r="F776" s="402">
        <f t="shared" ref="F776:F789" si="17">D776*E776</f>
        <v>0</v>
      </c>
      <c r="G776" s="382"/>
    </row>
    <row r="777" spans="1:7" s="385" customFormat="1" ht="31">
      <c r="A777" s="404" t="s">
        <v>600</v>
      </c>
      <c r="B777" s="462" t="s">
        <v>138</v>
      </c>
      <c r="C777" s="400" t="s">
        <v>4</v>
      </c>
      <c r="D777" s="406">
        <f>1.5*(27.24+7.93)*2</f>
        <v>105.51</v>
      </c>
      <c r="E777" s="402"/>
      <c r="F777" s="402">
        <f t="shared" si="17"/>
        <v>0</v>
      </c>
      <c r="G777" s="382"/>
    </row>
    <row r="778" spans="1:7" ht="15.5">
      <c r="A778" s="404" t="s">
        <v>601</v>
      </c>
      <c r="B778" s="461" t="s">
        <v>139</v>
      </c>
      <c r="C778" s="400"/>
      <c r="D778" s="406"/>
      <c r="E778" s="402"/>
      <c r="F778" s="402"/>
    </row>
    <row r="779" spans="1:7" ht="15.5">
      <c r="A779" s="404" t="s">
        <v>602</v>
      </c>
      <c r="B779" s="462" t="s">
        <v>60</v>
      </c>
      <c r="C779" s="400" t="s">
        <v>4</v>
      </c>
      <c r="D779" s="406">
        <f>(27.24*2+7.93*6)*3</f>
        <v>306.18</v>
      </c>
      <c r="E779" s="402"/>
      <c r="F779" s="402">
        <f t="shared" si="17"/>
        <v>0</v>
      </c>
    </row>
    <row r="780" spans="1:7" ht="15.5">
      <c r="A780" s="404" t="s">
        <v>603</v>
      </c>
      <c r="B780" s="462" t="s">
        <v>604</v>
      </c>
      <c r="C780" s="400" t="s">
        <v>4</v>
      </c>
      <c r="D780" s="406">
        <f>D752</f>
        <v>304.54319999999996</v>
      </c>
      <c r="E780" s="402"/>
      <c r="F780" s="402">
        <f t="shared" si="17"/>
        <v>0</v>
      </c>
    </row>
    <row r="781" spans="1:7" ht="15.5">
      <c r="A781" s="404"/>
      <c r="B781" s="462"/>
      <c r="C781" s="400"/>
      <c r="D781" s="406"/>
      <c r="E781" s="402"/>
      <c r="F781" s="402"/>
    </row>
    <row r="782" spans="1:7" ht="15.5" hidden="1">
      <c r="A782" s="404" t="s">
        <v>605</v>
      </c>
      <c r="B782" s="461" t="s">
        <v>606</v>
      </c>
      <c r="C782" s="400"/>
      <c r="D782" s="400"/>
      <c r="E782" s="402"/>
      <c r="F782" s="402"/>
    </row>
    <row r="783" spans="1:7" ht="31" hidden="1">
      <c r="A783" s="404" t="s">
        <v>607</v>
      </c>
      <c r="B783" s="462" t="s">
        <v>608</v>
      </c>
      <c r="C783" s="400" t="s">
        <v>4</v>
      </c>
      <c r="D783" s="400">
        <v>0</v>
      </c>
      <c r="E783" s="402"/>
      <c r="F783" s="402">
        <f t="shared" si="17"/>
        <v>0</v>
      </c>
    </row>
    <row r="784" spans="1:7" ht="15.5" hidden="1">
      <c r="A784" s="404"/>
      <c r="B784" s="462"/>
      <c r="C784" s="400"/>
      <c r="D784" s="406"/>
      <c r="E784" s="402"/>
      <c r="F784" s="402"/>
    </row>
    <row r="785" spans="1:6" ht="15.5">
      <c r="A785" s="405" t="s">
        <v>609</v>
      </c>
      <c r="B785" s="461" t="s">
        <v>140</v>
      </c>
      <c r="C785" s="400"/>
      <c r="D785" s="406"/>
      <c r="E785" s="431"/>
      <c r="F785" s="402"/>
    </row>
    <row r="786" spans="1:6" ht="31">
      <c r="A786" s="405" t="s">
        <v>610</v>
      </c>
      <c r="B786" s="462" t="s">
        <v>141</v>
      </c>
      <c r="C786" s="400" t="s">
        <v>4</v>
      </c>
      <c r="D786" s="406">
        <f>1.4*2.2*2*3+0.9*2.2*3*2+1.4*2*3*2</f>
        <v>47.16</v>
      </c>
      <c r="E786" s="402"/>
      <c r="F786" s="402">
        <f t="shared" si="17"/>
        <v>0</v>
      </c>
    </row>
    <row r="787" spans="1:6" ht="15.5">
      <c r="A787" s="405" t="s">
        <v>611</v>
      </c>
      <c r="B787" s="461" t="s">
        <v>612</v>
      </c>
      <c r="C787" s="400"/>
      <c r="D787" s="406"/>
      <c r="E787" s="402"/>
      <c r="F787" s="402"/>
    </row>
    <row r="788" spans="1:6" ht="15.5">
      <c r="A788" s="405" t="s">
        <v>613</v>
      </c>
      <c r="B788" s="462" t="s">
        <v>614</v>
      </c>
      <c r="C788" s="400" t="s">
        <v>4</v>
      </c>
      <c r="D788" s="406">
        <f>3*6*1.4+3*3*1.4</f>
        <v>37.799999999999997</v>
      </c>
      <c r="E788" s="402"/>
      <c r="F788" s="402">
        <f>D788*E788</f>
        <v>0</v>
      </c>
    </row>
    <row r="789" spans="1:6" ht="16" thickBot="1">
      <c r="A789" s="405" t="s">
        <v>613</v>
      </c>
      <c r="B789" s="462" t="s">
        <v>142</v>
      </c>
      <c r="C789" s="400" t="s">
        <v>4</v>
      </c>
      <c r="D789" s="406">
        <f>3*6*1.4+3*3*1.4</f>
        <v>37.799999999999997</v>
      </c>
      <c r="E789" s="402"/>
      <c r="F789" s="402">
        <f t="shared" si="17"/>
        <v>0</v>
      </c>
    </row>
    <row r="790" spans="1:6" ht="16" thickBot="1">
      <c r="A790" s="408"/>
      <c r="B790" s="452" t="s">
        <v>615</v>
      </c>
      <c r="C790" s="446"/>
      <c r="D790" s="394"/>
      <c r="E790" s="393"/>
      <c r="F790" s="464">
        <f>SUM(F776:F789)</f>
        <v>0</v>
      </c>
    </row>
    <row r="791" spans="1:6" ht="16" thickBot="1">
      <c r="B791" s="424"/>
    </row>
    <row r="792" spans="1:6" s="10" customFormat="1" ht="25" customHeight="1" thickBot="1">
      <c r="A792" s="496"/>
      <c r="B792" s="550" t="s">
        <v>657</v>
      </c>
      <c r="C792" s="550"/>
      <c r="D792" s="550"/>
      <c r="E792" s="500"/>
      <c r="F792" s="501">
        <f>F606+F709+F735+F746+F753+F768+F790</f>
        <v>0</v>
      </c>
    </row>
    <row r="793" spans="1:6" ht="13" thickBot="1"/>
    <row r="794" spans="1:6" ht="16" thickBot="1">
      <c r="A794" s="496"/>
      <c r="B794" s="500" t="s">
        <v>658</v>
      </c>
      <c r="C794" s="503">
        <v>0.15</v>
      </c>
      <c r="D794" s="497"/>
      <c r="E794" s="500"/>
      <c r="F794" s="501">
        <f>(F201+F400+F599+F792)*C794</f>
        <v>0</v>
      </c>
    </row>
    <row r="795" spans="1:6" ht="13" thickBot="1"/>
    <row r="796" spans="1:6" ht="16" thickBot="1">
      <c r="A796" s="496"/>
      <c r="B796" s="550" t="s">
        <v>660</v>
      </c>
      <c r="C796" s="550"/>
      <c r="D796" s="550"/>
      <c r="E796" s="500"/>
      <c r="F796" s="501">
        <f>(F201+F400+F599+F792)+F794</f>
        <v>0</v>
      </c>
    </row>
  </sheetData>
  <mergeCells count="10">
    <mergeCell ref="B796:D796"/>
    <mergeCell ref="A1:F1"/>
    <mergeCell ref="B203:E203"/>
    <mergeCell ref="B201:D201"/>
    <mergeCell ref="B402:E402"/>
    <mergeCell ref="B599:D599"/>
    <mergeCell ref="B792:D792"/>
    <mergeCell ref="A2:F2"/>
    <mergeCell ref="B601:E601"/>
    <mergeCell ref="B4:E4"/>
  </mergeCells>
  <pageMargins left="0.7" right="0.7" top="0.75" bottom="0.75" header="0.3" footer="0.3"/>
  <pageSetup paperSize="9" scale="48" orientation="portrait" r:id="rId1"/>
  <rowBreaks count="5" manualBreakCount="5">
    <brk id="52" max="5" man="1"/>
    <brk id="181" max="5" man="1"/>
    <brk id="633" max="5" man="1"/>
    <brk id="656" max="5" man="1"/>
    <brk id="7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19CA-3984-4635-8D3F-A3E62DAD3324}">
  <dimension ref="A1:F126"/>
  <sheetViews>
    <sheetView showGridLines="0" view="pageBreakPreview" zoomScale="80" zoomScaleSheetLayoutView="80" workbookViewId="0">
      <selection activeCell="H9" sqref="H9"/>
    </sheetView>
  </sheetViews>
  <sheetFormatPr baseColWidth="10" defaultColWidth="11.453125" defaultRowHeight="15.5"/>
  <cols>
    <col min="1" max="1" width="10" style="232" customWidth="1"/>
    <col min="2" max="2" width="61.1796875" style="232" bestFit="1" customWidth="1"/>
    <col min="3" max="3" width="9.1796875" style="2" customWidth="1"/>
    <col min="4" max="4" width="10.54296875" style="3" customWidth="1"/>
    <col min="5" max="5" width="11.81640625" style="3" customWidth="1"/>
    <col min="6" max="6" width="18.81640625" style="233" customWidth="1"/>
    <col min="7" max="16384" width="11.453125" style="2"/>
  </cols>
  <sheetData>
    <row r="1" spans="1:6" ht="29.5" customHeight="1"/>
    <row r="2" spans="1:6" ht="27.65" customHeight="1"/>
    <row r="3" spans="1:6" ht="23" customHeight="1">
      <c r="A3" s="1"/>
      <c r="B3" s="1"/>
      <c r="F3" s="234"/>
    </row>
    <row r="4" spans="1:6" s="4" customFormat="1" ht="13" thickBot="1">
      <c r="B4" s="558"/>
      <c r="C4" s="558"/>
      <c r="D4" s="5"/>
      <c r="E4" s="229"/>
      <c r="F4" s="235"/>
    </row>
    <row r="5" spans="1:6" s="4" customFormat="1" ht="23" customHeight="1" thickBot="1">
      <c r="A5" s="559" t="s">
        <v>716</v>
      </c>
      <c r="B5" s="560"/>
      <c r="C5" s="560"/>
      <c r="D5" s="560"/>
      <c r="E5" s="560"/>
      <c r="F5" s="561"/>
    </row>
    <row r="6" spans="1:6" s="4" customFormat="1" ht="13.25" customHeight="1" thickBot="1">
      <c r="B6" s="7"/>
      <c r="C6" s="7"/>
      <c r="D6" s="8"/>
      <c r="E6" s="9"/>
      <c r="F6" s="236"/>
    </row>
    <row r="7" spans="1:6" s="10" customFormat="1" ht="33" customHeight="1" thickBot="1">
      <c r="A7" s="474" t="s">
        <v>363</v>
      </c>
      <c r="B7" s="475" t="s">
        <v>70</v>
      </c>
      <c r="C7" s="476" t="s">
        <v>75</v>
      </c>
      <c r="D7" s="477" t="s">
        <v>76</v>
      </c>
      <c r="E7" s="478" t="s">
        <v>77</v>
      </c>
      <c r="F7" s="479" t="s">
        <v>78</v>
      </c>
    </row>
    <row r="8" spans="1:6" s="10" customFormat="1" ht="14.5" customHeight="1">
      <c r="A8" s="66"/>
      <c r="B8" s="65"/>
      <c r="C8" s="6"/>
      <c r="D8" s="64"/>
      <c r="E8" s="198"/>
      <c r="F8" s="237"/>
    </row>
    <row r="9" spans="1:6" s="4" customFormat="1">
      <c r="A9" s="67" t="s">
        <v>147</v>
      </c>
      <c r="B9" s="68" t="s">
        <v>146</v>
      </c>
      <c r="C9" s="69"/>
      <c r="D9" s="70"/>
      <c r="E9" s="199"/>
      <c r="F9" s="239"/>
    </row>
    <row r="10" spans="1:6" s="4" customFormat="1" ht="14" customHeight="1">
      <c r="A10" s="98"/>
      <c r="B10" s="99"/>
      <c r="C10" s="32"/>
      <c r="D10" s="33"/>
      <c r="E10" s="200"/>
      <c r="F10" s="240"/>
    </row>
    <row r="11" spans="1:6" s="4" customFormat="1" ht="16.25" customHeight="1">
      <c r="A11" s="100" t="s">
        <v>68</v>
      </c>
      <c r="B11" s="101" t="s">
        <v>715</v>
      </c>
      <c r="C11" s="32" t="s">
        <v>176</v>
      </c>
      <c r="D11" s="33">
        <v>1</v>
      </c>
      <c r="E11" s="200"/>
      <c r="F11" s="241">
        <f t="shared" ref="F11:F12" si="0">D11*E11</f>
        <v>0</v>
      </c>
    </row>
    <row r="12" spans="1:6" s="4" customFormat="1" ht="15.65" customHeight="1">
      <c r="A12" s="15" t="s">
        <v>5</v>
      </c>
      <c r="B12" s="16" t="s">
        <v>175</v>
      </c>
      <c r="C12" s="12" t="s">
        <v>176</v>
      </c>
      <c r="D12" s="17">
        <v>1</v>
      </c>
      <c r="E12" s="201"/>
      <c r="F12" s="241">
        <f t="shared" si="0"/>
        <v>0</v>
      </c>
    </row>
    <row r="13" spans="1:6" s="4" customFormat="1" ht="17.5" customHeight="1" thickBot="1">
      <c r="A13" s="15" t="s">
        <v>69</v>
      </c>
      <c r="B13" s="16" t="s">
        <v>174</v>
      </c>
      <c r="C13" s="12" t="s">
        <v>176</v>
      </c>
      <c r="D13" s="17">
        <v>1</v>
      </c>
      <c r="E13" s="200"/>
      <c r="F13" s="241">
        <f>D13*E13</f>
        <v>0</v>
      </c>
    </row>
    <row r="14" spans="1:6" s="4" customFormat="1" ht="16" thickBot="1">
      <c r="A14" s="52"/>
      <c r="B14" s="53" t="s">
        <v>155</v>
      </c>
      <c r="C14" s="54"/>
      <c r="D14" s="55"/>
      <c r="E14" s="202"/>
      <c r="F14" s="242">
        <f>SUM(F11:F13)</f>
        <v>0</v>
      </c>
    </row>
    <row r="15" spans="1:6" s="4" customFormat="1">
      <c r="B15" s="71"/>
      <c r="C15" s="22"/>
      <c r="D15" s="23"/>
      <c r="E15" s="203"/>
      <c r="F15" s="241"/>
    </row>
    <row r="16" spans="1:6" s="4" customFormat="1">
      <c r="A16" s="67" t="s">
        <v>14</v>
      </c>
      <c r="B16" s="72" t="s">
        <v>148</v>
      </c>
      <c r="C16" s="73"/>
      <c r="D16" s="74"/>
      <c r="E16" s="204"/>
      <c r="F16" s="239"/>
    </row>
    <row r="17" spans="1:6" s="4" customFormat="1">
      <c r="A17" s="14"/>
      <c r="B17" s="21"/>
      <c r="C17" s="22"/>
      <c r="D17" s="23"/>
      <c r="E17" s="205"/>
      <c r="F17" s="241"/>
    </row>
    <row r="18" spans="1:6" s="4" customFormat="1">
      <c r="A18" s="15" t="s">
        <v>79</v>
      </c>
      <c r="B18" s="16" t="s">
        <v>80</v>
      </c>
      <c r="C18" s="12"/>
      <c r="D18" s="17"/>
      <c r="E18" s="201"/>
      <c r="F18" s="241"/>
    </row>
    <row r="19" spans="1:6" s="4" customFormat="1">
      <c r="A19" s="15" t="s">
        <v>295</v>
      </c>
      <c r="B19" s="16" t="s">
        <v>356</v>
      </c>
      <c r="C19" s="12" t="s">
        <v>7</v>
      </c>
      <c r="D19" s="50">
        <v>134.51</v>
      </c>
      <c r="E19" s="201"/>
      <c r="F19" s="241"/>
    </row>
    <row r="20" spans="1:6" s="4" customFormat="1">
      <c r="A20" s="15" t="s">
        <v>296</v>
      </c>
      <c r="B20" s="16" t="s">
        <v>348</v>
      </c>
      <c r="C20" s="12" t="s">
        <v>10</v>
      </c>
      <c r="D20" s="50">
        <f>D19*0.85*0.6</f>
        <v>68.600099999999983</v>
      </c>
      <c r="E20" s="201"/>
      <c r="F20" s="241">
        <f>D20*E20</f>
        <v>0</v>
      </c>
    </row>
    <row r="21" spans="1:6" s="4" customFormat="1" ht="17.5" customHeight="1">
      <c r="A21" s="15" t="s">
        <v>298</v>
      </c>
      <c r="B21" s="16" t="s">
        <v>83</v>
      </c>
      <c r="C21" s="12" t="s">
        <v>10</v>
      </c>
      <c r="D21" s="50">
        <f>D19*0.65*0.45</f>
        <v>39.344175</v>
      </c>
      <c r="E21" s="201"/>
      <c r="F21" s="241">
        <f t="shared" ref="F21:F22" si="1">D21*E21</f>
        <v>0</v>
      </c>
    </row>
    <row r="22" spans="1:6" s="4" customFormat="1" ht="17.5" customHeight="1" thickBot="1">
      <c r="A22" s="15" t="s">
        <v>300</v>
      </c>
      <c r="B22" s="16" t="s">
        <v>85</v>
      </c>
      <c r="C22" s="12" t="s">
        <v>10</v>
      </c>
      <c r="D22" s="50">
        <f>30.27*9.88*0.5</f>
        <v>149.53380000000001</v>
      </c>
      <c r="E22" s="201"/>
      <c r="F22" s="241">
        <f t="shared" si="1"/>
        <v>0</v>
      </c>
    </row>
    <row r="23" spans="1:6" s="4" customFormat="1" ht="17.5" customHeight="1" thickBot="1">
      <c r="A23" s="18"/>
      <c r="B23" s="279" t="s">
        <v>156</v>
      </c>
      <c r="C23" s="19"/>
      <c r="D23" s="20"/>
      <c r="E23" s="208"/>
      <c r="F23" s="280">
        <f>SUM(F20:F22)</f>
        <v>0</v>
      </c>
    </row>
    <row r="24" spans="1:6" s="4" customFormat="1" ht="17.5" customHeight="1">
      <c r="A24" s="24" t="s">
        <v>318</v>
      </c>
      <c r="B24" s="84" t="s">
        <v>173</v>
      </c>
      <c r="C24" s="25"/>
      <c r="D24" s="13"/>
      <c r="E24" s="207"/>
      <c r="F24" s="241"/>
    </row>
    <row r="25" spans="1:6" s="4" customFormat="1" ht="17.5" customHeight="1">
      <c r="A25" s="28" t="s">
        <v>17</v>
      </c>
      <c r="B25" s="27" t="s">
        <v>172</v>
      </c>
      <c r="C25" s="12"/>
      <c r="D25" s="17"/>
      <c r="E25" s="201"/>
      <c r="F25" s="241"/>
    </row>
    <row r="26" spans="1:6" s="4" customFormat="1" ht="17.5" customHeight="1">
      <c r="A26" s="28" t="s">
        <v>86</v>
      </c>
      <c r="B26" s="29" t="s">
        <v>87</v>
      </c>
      <c r="C26" s="12" t="s">
        <v>10</v>
      </c>
      <c r="D26" s="17">
        <f>D19*0.6*0.05</f>
        <v>4.0352999999999994</v>
      </c>
      <c r="E26" s="201"/>
      <c r="F26" s="241">
        <f>D26*E26</f>
        <v>0</v>
      </c>
    </row>
    <row r="27" spans="1:6" s="4" customFormat="1" ht="17.5" customHeight="1">
      <c r="A27" s="28" t="s">
        <v>88</v>
      </c>
      <c r="B27" s="29" t="s">
        <v>178</v>
      </c>
      <c r="C27" s="12" t="s">
        <v>10</v>
      </c>
      <c r="D27" s="17">
        <f>D19*0.6*0.15</f>
        <v>12.105899999999998</v>
      </c>
      <c r="E27" s="201"/>
      <c r="F27" s="241">
        <f t="shared" ref="F27:F57" si="2">D27*E27</f>
        <v>0</v>
      </c>
    </row>
    <row r="28" spans="1:6" s="4" customFormat="1" ht="17.5" customHeight="1">
      <c r="A28" s="28" t="s">
        <v>89</v>
      </c>
      <c r="B28" s="29" t="s">
        <v>375</v>
      </c>
      <c r="C28" s="12" t="s">
        <v>10</v>
      </c>
      <c r="D28" s="17">
        <f>29*0.15*0.15*0.66+9*0.15*0.2*0.66</f>
        <v>0.60885</v>
      </c>
      <c r="E28" s="201"/>
      <c r="F28" s="241">
        <f t="shared" si="2"/>
        <v>0</v>
      </c>
    </row>
    <row r="29" spans="1:6" s="4" customFormat="1" ht="17.5" customHeight="1">
      <c r="A29" s="28" t="s">
        <v>90</v>
      </c>
      <c r="B29" s="29" t="s">
        <v>376</v>
      </c>
      <c r="C29" s="12" t="s">
        <v>10</v>
      </c>
      <c r="D29" s="17">
        <f>134.51*0.2*0.15</f>
        <v>4.0353000000000003</v>
      </c>
      <c r="E29" s="201"/>
      <c r="F29" s="241">
        <f t="shared" si="2"/>
        <v>0</v>
      </c>
    </row>
    <row r="30" spans="1:6" s="4" customFormat="1">
      <c r="A30" s="28" t="s">
        <v>91</v>
      </c>
      <c r="B30" s="29" t="s">
        <v>180</v>
      </c>
      <c r="C30" s="12" t="s">
        <v>4</v>
      </c>
      <c r="D30" s="17">
        <f>134.51*1.05</f>
        <v>141.2355</v>
      </c>
      <c r="E30" s="201"/>
      <c r="F30" s="241">
        <f t="shared" si="2"/>
        <v>0</v>
      </c>
    </row>
    <row r="31" spans="1:6" s="4" customFormat="1">
      <c r="A31" s="28" t="s">
        <v>92</v>
      </c>
      <c r="B31" s="29" t="s">
        <v>349</v>
      </c>
      <c r="C31" s="32" t="s">
        <v>10</v>
      </c>
      <c r="D31" s="33">
        <f>30.27*9.88*0.1</f>
        <v>29.906760000000006</v>
      </c>
      <c r="E31" s="200"/>
      <c r="F31" s="241">
        <f t="shared" si="2"/>
        <v>0</v>
      </c>
    </row>
    <row r="32" spans="1:6" s="4" customFormat="1">
      <c r="A32" s="28"/>
      <c r="B32" s="29" t="s">
        <v>93</v>
      </c>
      <c r="C32" s="12" t="s">
        <v>4</v>
      </c>
      <c r="D32" s="17">
        <f>30.27*9.88</f>
        <v>299.06760000000003</v>
      </c>
      <c r="E32" s="201"/>
      <c r="F32" s="241">
        <f t="shared" si="2"/>
        <v>0</v>
      </c>
    </row>
    <row r="33" spans="1:6" s="4" customFormat="1">
      <c r="A33" s="28" t="s">
        <v>94</v>
      </c>
      <c r="B33" s="29" t="s">
        <v>95</v>
      </c>
      <c r="C33" s="12"/>
      <c r="D33" s="17"/>
      <c r="E33" s="201"/>
      <c r="F33" s="241"/>
    </row>
    <row r="34" spans="1:6" s="4" customFormat="1" ht="46.5">
      <c r="A34" s="28"/>
      <c r="B34" s="34" t="s">
        <v>361</v>
      </c>
      <c r="C34" s="12" t="s">
        <v>4</v>
      </c>
      <c r="D34" s="17">
        <f>30.27*0.44*4*2</f>
        <v>106.5504</v>
      </c>
      <c r="E34" s="201"/>
      <c r="F34" s="241">
        <f t="shared" si="2"/>
        <v>0</v>
      </c>
    </row>
    <row r="35" spans="1:6" s="4" customFormat="1">
      <c r="A35" s="28"/>
      <c r="B35" s="31" t="s">
        <v>96</v>
      </c>
      <c r="C35" s="12" t="s">
        <v>10</v>
      </c>
      <c r="D35" s="17">
        <f>30.27*0.4*0.4*2</f>
        <v>9.6864000000000008</v>
      </c>
      <c r="E35" s="201"/>
      <c r="F35" s="241">
        <f t="shared" si="2"/>
        <v>0</v>
      </c>
    </row>
    <row r="36" spans="1:6" s="4" customFormat="1">
      <c r="A36" s="28"/>
      <c r="B36" s="31" t="s">
        <v>97</v>
      </c>
      <c r="C36" s="12" t="s">
        <v>10</v>
      </c>
      <c r="D36" s="17">
        <f>30.27*0.4*0.1*2</f>
        <v>2.4216000000000002</v>
      </c>
      <c r="E36" s="201"/>
      <c r="F36" s="241">
        <f t="shared" si="2"/>
        <v>0</v>
      </c>
    </row>
    <row r="37" spans="1:6" s="4" customFormat="1">
      <c r="A37" s="28" t="s">
        <v>24</v>
      </c>
      <c r="B37" s="83" t="s">
        <v>149</v>
      </c>
      <c r="C37" s="22"/>
      <c r="D37" s="17"/>
      <c r="E37" s="205"/>
      <c r="F37" s="241"/>
    </row>
    <row r="38" spans="1:6" s="4" customFormat="1">
      <c r="A38" s="28" t="s">
        <v>26</v>
      </c>
      <c r="B38" s="29" t="s">
        <v>350</v>
      </c>
      <c r="C38" s="12" t="s">
        <v>4</v>
      </c>
      <c r="D38" s="17">
        <f>(30.35*2+9.38*2+7.23*3)*3-(9*1.8*1.8+1.25*1.8*3+2.3*1.8*3+5*0.9*2.2+1.4*2.2*3+1.4*2*1.1)+5*(12*1.62/2)</f>
        <v>281.50000000000006</v>
      </c>
      <c r="E38" s="201"/>
      <c r="F38" s="241">
        <f t="shared" si="2"/>
        <v>0</v>
      </c>
    </row>
    <row r="39" spans="1:6" s="4" customFormat="1">
      <c r="A39" s="28" t="s">
        <v>399</v>
      </c>
      <c r="B39" s="29" t="s">
        <v>98</v>
      </c>
      <c r="C39" s="12" t="s">
        <v>10</v>
      </c>
      <c r="D39" s="17">
        <f>29*0.15*0.15*3.5+9*0.2*0.15*3.5</f>
        <v>3.2287499999999998</v>
      </c>
      <c r="E39" s="201"/>
      <c r="F39" s="241">
        <f t="shared" si="2"/>
        <v>0</v>
      </c>
    </row>
    <row r="40" spans="1:6" s="4" customFormat="1">
      <c r="A40" s="28" t="s">
        <v>150</v>
      </c>
      <c r="B40" s="29" t="s">
        <v>99</v>
      </c>
      <c r="C40" s="12" t="s">
        <v>10</v>
      </c>
      <c r="D40" s="17">
        <f>D29+(1*0.15*0.2+1.46*0.2*0.15)*3</f>
        <v>4.2567000000000004</v>
      </c>
      <c r="E40" s="201"/>
      <c r="F40" s="241">
        <f t="shared" si="2"/>
        <v>0</v>
      </c>
    </row>
    <row r="41" spans="1:6" s="4" customFormat="1">
      <c r="A41" s="28" t="s">
        <v>400</v>
      </c>
      <c r="B41" s="29" t="s">
        <v>102</v>
      </c>
      <c r="C41" s="12" t="s">
        <v>10</v>
      </c>
      <c r="D41" s="17">
        <f>5*10*0.2*0.1</f>
        <v>1</v>
      </c>
      <c r="E41" s="201"/>
      <c r="F41" s="241">
        <f t="shared" si="2"/>
        <v>0</v>
      </c>
    </row>
    <row r="42" spans="1:6" s="4" customFormat="1">
      <c r="A42" s="28" t="s">
        <v>27</v>
      </c>
      <c r="B42" s="29" t="s">
        <v>33</v>
      </c>
      <c r="C42" s="12"/>
      <c r="D42" s="17"/>
      <c r="E42" s="201"/>
      <c r="F42" s="241"/>
    </row>
    <row r="43" spans="1:6" s="4" customFormat="1">
      <c r="A43" s="28"/>
      <c r="B43" s="29" t="s">
        <v>177</v>
      </c>
      <c r="C43" s="12" t="s">
        <v>4</v>
      </c>
      <c r="D43" s="17">
        <f>(30.35*2+9.88+7.23)*3-D46-(4*0.9*2.2+31.14*2.2)+2*(12*1.6/2)</f>
        <v>120.042</v>
      </c>
      <c r="E43" s="201"/>
      <c r="F43" s="241">
        <f t="shared" si="2"/>
        <v>0</v>
      </c>
    </row>
    <row r="44" spans="1:6" s="4" customFormat="1">
      <c r="A44" s="28"/>
      <c r="B44" s="29" t="s">
        <v>179</v>
      </c>
      <c r="C44" s="12" t="s">
        <v>4</v>
      </c>
      <c r="D44" s="17">
        <f>(30.35*2+9.38*2+7.23*7)*3-D43-5*1*2.2+3*1.46*2.2+(2*(12*1.6/2))</f>
        <v>288.00400000000002</v>
      </c>
      <c r="E44" s="201"/>
      <c r="F44" s="241">
        <f t="shared" si="2"/>
        <v>0</v>
      </c>
    </row>
    <row r="45" spans="1:6" s="4" customFormat="1">
      <c r="A45" s="28" t="s">
        <v>28</v>
      </c>
      <c r="B45" s="29" t="s">
        <v>103</v>
      </c>
      <c r="C45" s="12"/>
      <c r="D45" s="17"/>
      <c r="E45" s="201"/>
      <c r="F45" s="241"/>
    </row>
    <row r="46" spans="1:6" s="4" customFormat="1" ht="31">
      <c r="A46" s="28" t="s">
        <v>29</v>
      </c>
      <c r="B46" s="51" t="s">
        <v>143</v>
      </c>
      <c r="C46" s="12" t="s">
        <v>104</v>
      </c>
      <c r="D46" s="17">
        <f>3*(3*1.8*1.8+2*2.5*1.8)</f>
        <v>56.16</v>
      </c>
      <c r="E46" s="201"/>
      <c r="F46" s="241">
        <f t="shared" si="2"/>
        <v>0</v>
      </c>
    </row>
    <row r="47" spans="1:6" s="4" customFormat="1">
      <c r="A47" s="28" t="s">
        <v>6</v>
      </c>
      <c r="B47" s="83" t="s">
        <v>34</v>
      </c>
      <c r="C47" s="12"/>
      <c r="D47" s="17"/>
      <c r="E47" s="201"/>
      <c r="F47" s="241"/>
    </row>
    <row r="48" spans="1:6" s="4" customFormat="1" ht="31">
      <c r="A48" s="356" t="s">
        <v>30</v>
      </c>
      <c r="B48" s="51" t="s">
        <v>414</v>
      </c>
      <c r="C48" s="12" t="s">
        <v>9</v>
      </c>
      <c r="D48" s="17">
        <v>4</v>
      </c>
      <c r="E48" s="201"/>
      <c r="F48" s="241">
        <f t="shared" ref="F48" si="3">D48*E48</f>
        <v>0</v>
      </c>
    </row>
    <row r="49" spans="1:6" s="4" customFormat="1" ht="34.5" customHeight="1">
      <c r="A49" s="356" t="s">
        <v>31</v>
      </c>
      <c r="B49" s="51" t="s">
        <v>415</v>
      </c>
      <c r="C49" s="12" t="s">
        <v>9</v>
      </c>
      <c r="D49" s="17">
        <v>3</v>
      </c>
      <c r="E49" s="201"/>
      <c r="F49" s="241">
        <f t="shared" si="2"/>
        <v>0</v>
      </c>
    </row>
    <row r="50" spans="1:6" s="4" customFormat="1" ht="20.25" customHeight="1">
      <c r="A50" s="28" t="s">
        <v>108</v>
      </c>
      <c r="B50" s="29" t="s">
        <v>152</v>
      </c>
      <c r="C50" s="12" t="s">
        <v>9</v>
      </c>
      <c r="D50" s="17">
        <v>4</v>
      </c>
      <c r="E50" s="201"/>
      <c r="F50" s="241">
        <f t="shared" si="2"/>
        <v>0</v>
      </c>
    </row>
    <row r="51" spans="1:6" s="4" customFormat="1">
      <c r="A51" s="28" t="s">
        <v>108</v>
      </c>
      <c r="B51" s="27" t="s">
        <v>36</v>
      </c>
      <c r="C51" s="12"/>
      <c r="D51" s="17"/>
      <c r="E51" s="201"/>
      <c r="F51" s="241"/>
    </row>
    <row r="52" spans="1:6" s="4" customFormat="1">
      <c r="A52" s="28" t="s">
        <v>109</v>
      </c>
      <c r="B52" s="29" t="s">
        <v>105</v>
      </c>
      <c r="C52" s="12" t="s">
        <v>10</v>
      </c>
      <c r="D52" s="17">
        <f>1*1.5*0.3</f>
        <v>0.44999999999999996</v>
      </c>
      <c r="E52" s="201"/>
      <c r="F52" s="241">
        <f t="shared" si="2"/>
        <v>0</v>
      </c>
    </row>
    <row r="53" spans="1:6" s="4" customFormat="1">
      <c r="A53" s="28" t="s">
        <v>110</v>
      </c>
      <c r="B53" s="16" t="s">
        <v>107</v>
      </c>
      <c r="C53" s="12" t="s">
        <v>10</v>
      </c>
      <c r="D53" s="17">
        <f>1*1.5*0.2</f>
        <v>0.30000000000000004</v>
      </c>
      <c r="E53" s="201"/>
      <c r="F53" s="241">
        <f t="shared" si="2"/>
        <v>0</v>
      </c>
    </row>
    <row r="54" spans="1:6" s="4" customFormat="1">
      <c r="A54" s="28" t="s">
        <v>111</v>
      </c>
      <c r="B54" s="29" t="s">
        <v>87</v>
      </c>
      <c r="C54" s="12" t="s">
        <v>10</v>
      </c>
      <c r="D54" s="17">
        <f>1*1.5*0.05</f>
        <v>7.5000000000000011E-2</v>
      </c>
      <c r="E54" s="201"/>
      <c r="F54" s="241">
        <f t="shared" si="2"/>
        <v>0</v>
      </c>
    </row>
    <row r="55" spans="1:6" s="4" customFormat="1">
      <c r="A55" s="28" t="s">
        <v>151</v>
      </c>
      <c r="B55" s="29" t="s">
        <v>106</v>
      </c>
      <c r="C55" s="12" t="s">
        <v>4</v>
      </c>
      <c r="D55" s="17">
        <f>2.5*2*0.44</f>
        <v>2.2000000000000002</v>
      </c>
      <c r="E55" s="201"/>
      <c r="F55" s="241">
        <f t="shared" si="2"/>
        <v>0</v>
      </c>
    </row>
    <row r="56" spans="1:6" s="4" customFormat="1">
      <c r="A56" s="28"/>
      <c r="B56" s="29" t="s">
        <v>20</v>
      </c>
      <c r="C56" s="12" t="s">
        <v>10</v>
      </c>
      <c r="D56" s="17">
        <f>1*1.5*0.15</f>
        <v>0.22499999999999998</v>
      </c>
      <c r="E56" s="201"/>
      <c r="F56" s="241">
        <f t="shared" si="2"/>
        <v>0</v>
      </c>
    </row>
    <row r="57" spans="1:6" s="4" customFormat="1">
      <c r="A57" s="28"/>
      <c r="B57" s="29" t="s">
        <v>61</v>
      </c>
      <c r="C57" s="12" t="s">
        <v>23</v>
      </c>
      <c r="D57" s="17">
        <f>D56*70</f>
        <v>15.749999999999998</v>
      </c>
      <c r="E57" s="201"/>
      <c r="F57" s="241">
        <f t="shared" si="2"/>
        <v>0</v>
      </c>
    </row>
    <row r="58" spans="1:6" s="4" customFormat="1">
      <c r="A58" s="28" t="s">
        <v>112</v>
      </c>
      <c r="B58" s="27" t="s">
        <v>114</v>
      </c>
      <c r="C58" s="12"/>
      <c r="D58" s="17"/>
      <c r="E58" s="201"/>
      <c r="F58" s="241"/>
    </row>
    <row r="59" spans="1:6" s="4" customFormat="1">
      <c r="A59" s="28" t="s">
        <v>401</v>
      </c>
      <c r="B59" s="85" t="s">
        <v>285</v>
      </c>
      <c r="C59" s="12" t="s">
        <v>9</v>
      </c>
      <c r="D59" s="17">
        <v>4</v>
      </c>
      <c r="E59" s="201"/>
      <c r="F59" s="241">
        <f t="shared" ref="F59:F60" si="4">D59*E59</f>
        <v>0</v>
      </c>
    </row>
    <row r="60" spans="1:6" s="4" customFormat="1" ht="16" thickBot="1">
      <c r="A60" s="28" t="s">
        <v>113</v>
      </c>
      <c r="B60" s="85" t="s">
        <v>416</v>
      </c>
      <c r="C60" s="12" t="s">
        <v>9</v>
      </c>
      <c r="D60" s="17">
        <v>3</v>
      </c>
      <c r="E60" s="201"/>
      <c r="F60" s="241">
        <f t="shared" si="4"/>
        <v>0</v>
      </c>
    </row>
    <row r="61" spans="1:6" s="4" customFormat="1" ht="17.5" customHeight="1" thickBot="1">
      <c r="A61" s="18"/>
      <c r="B61" s="91" t="s">
        <v>115</v>
      </c>
      <c r="C61" s="19"/>
      <c r="D61" s="20"/>
      <c r="E61" s="208"/>
      <c r="F61" s="243">
        <f>SUM(F26:F60)</f>
        <v>0</v>
      </c>
    </row>
    <row r="62" spans="1:6" s="4" customFormat="1" ht="16" thickBot="1">
      <c r="A62" s="52"/>
      <c r="B62" s="53" t="s">
        <v>153</v>
      </c>
      <c r="C62" s="54"/>
      <c r="D62" s="55"/>
      <c r="E62" s="206"/>
      <c r="F62" s="242">
        <f>F23+F61</f>
        <v>0</v>
      </c>
    </row>
    <row r="63" spans="1:6" s="40" customFormat="1">
      <c r="A63" s="37"/>
      <c r="B63" s="38"/>
      <c r="C63" s="39"/>
      <c r="D63" s="33"/>
      <c r="E63" s="200"/>
      <c r="F63" s="240"/>
    </row>
    <row r="64" spans="1:6" s="40" customFormat="1">
      <c r="A64" s="87" t="s">
        <v>18</v>
      </c>
      <c r="B64" s="90" t="s">
        <v>71</v>
      </c>
      <c r="C64" s="88"/>
      <c r="D64" s="89"/>
      <c r="E64" s="209"/>
      <c r="F64" s="244"/>
    </row>
    <row r="65" spans="1:6" s="40" customFormat="1">
      <c r="A65" s="86"/>
      <c r="B65" s="245"/>
      <c r="C65" s="32"/>
      <c r="D65" s="33"/>
      <c r="E65" s="200"/>
      <c r="F65" s="240"/>
    </row>
    <row r="66" spans="1:6" s="4" customFormat="1">
      <c r="A66" s="28" t="s">
        <v>116</v>
      </c>
      <c r="B66" s="29" t="s">
        <v>117</v>
      </c>
      <c r="C66" s="12"/>
      <c r="D66" s="17"/>
      <c r="E66" s="201"/>
      <c r="F66" s="241"/>
    </row>
    <row r="67" spans="1:6" s="4" customFormat="1">
      <c r="A67" s="15" t="s">
        <v>118</v>
      </c>
      <c r="B67" s="16" t="s">
        <v>120</v>
      </c>
      <c r="C67" s="12" t="s">
        <v>10</v>
      </c>
      <c r="D67" s="17">
        <f>(31.27*10.88)/100</f>
        <v>3.4021759999999999</v>
      </c>
      <c r="E67" s="210"/>
      <c r="F67" s="241">
        <f t="shared" ref="F67:F68" si="5">D67*E67</f>
        <v>0</v>
      </c>
    </row>
    <row r="68" spans="1:6" s="4" customFormat="1" ht="16" thickBot="1">
      <c r="A68" s="15" t="s">
        <v>119</v>
      </c>
      <c r="B68" s="16" t="s">
        <v>122</v>
      </c>
      <c r="C68" s="12" t="s">
        <v>9</v>
      </c>
      <c r="D68" s="17">
        <v>20</v>
      </c>
      <c r="E68" s="201"/>
      <c r="F68" s="241">
        <f t="shared" si="5"/>
        <v>0</v>
      </c>
    </row>
    <row r="69" spans="1:6" s="4" customFormat="1" ht="16" thickBot="1">
      <c r="A69" s="56"/>
      <c r="B69" s="53" t="s">
        <v>154</v>
      </c>
      <c r="C69" s="57"/>
      <c r="D69" s="58"/>
      <c r="E69" s="211"/>
      <c r="F69" s="242">
        <f>SUM(F67:F68)</f>
        <v>0</v>
      </c>
    </row>
    <row r="70" spans="1:6" s="4" customFormat="1">
      <c r="A70" s="41"/>
      <c r="B70" s="42"/>
      <c r="C70" s="25"/>
      <c r="D70" s="17"/>
      <c r="E70" s="207"/>
      <c r="F70" s="241"/>
    </row>
    <row r="71" spans="1:6" s="4" customFormat="1">
      <c r="A71" s="87" t="s">
        <v>41</v>
      </c>
      <c r="B71" s="92" t="s">
        <v>42</v>
      </c>
      <c r="C71" s="88"/>
      <c r="D71" s="89"/>
      <c r="E71" s="209"/>
      <c r="F71" s="244"/>
    </row>
    <row r="72" spans="1:6" s="4" customFormat="1">
      <c r="A72" s="26"/>
      <c r="B72" s="42"/>
      <c r="C72" s="12"/>
      <c r="D72" s="17"/>
      <c r="E72" s="201"/>
      <c r="F72" s="241"/>
    </row>
    <row r="73" spans="1:6" s="4" customFormat="1">
      <c r="A73" s="28" t="s">
        <v>123</v>
      </c>
      <c r="B73" s="42" t="s">
        <v>161</v>
      </c>
      <c r="C73" s="12"/>
      <c r="D73" s="17"/>
      <c r="E73" s="201"/>
      <c r="F73" s="241"/>
    </row>
    <row r="74" spans="1:6" s="4" customFormat="1">
      <c r="A74" s="28" t="s">
        <v>124</v>
      </c>
      <c r="B74" s="29" t="s">
        <v>709</v>
      </c>
      <c r="C74" s="12" t="s">
        <v>4</v>
      </c>
      <c r="D74" s="17">
        <f>31.87*12</f>
        <v>382.44</v>
      </c>
      <c r="E74" s="201"/>
      <c r="F74" s="241">
        <f>D74*E74</f>
        <v>0</v>
      </c>
    </row>
    <row r="75" spans="1:6" s="4" customFormat="1">
      <c r="A75" s="28" t="s">
        <v>125</v>
      </c>
      <c r="B75" s="42" t="s">
        <v>126</v>
      </c>
      <c r="C75" s="12"/>
      <c r="D75" s="17"/>
      <c r="E75" s="201"/>
      <c r="F75" s="241"/>
    </row>
    <row r="76" spans="1:6" s="4" customFormat="1">
      <c r="A76" s="28" t="s">
        <v>127</v>
      </c>
      <c r="B76" s="29" t="s">
        <v>710</v>
      </c>
      <c r="C76" s="12" t="s">
        <v>7</v>
      </c>
      <c r="D76" s="17">
        <v>31.87</v>
      </c>
      <c r="E76" s="201"/>
      <c r="F76" s="241">
        <f t="shared" ref="F76:F78" si="6">D76*E76</f>
        <v>0</v>
      </c>
    </row>
    <row r="77" spans="1:6" s="4" customFormat="1">
      <c r="A77" s="28" t="s">
        <v>128</v>
      </c>
      <c r="B77" s="42" t="s">
        <v>130</v>
      </c>
      <c r="C77" s="22"/>
      <c r="D77" s="17"/>
      <c r="E77" s="205"/>
      <c r="F77" s="241"/>
    </row>
    <row r="78" spans="1:6" s="4" customFormat="1" ht="16" thickBot="1">
      <c r="A78" s="35" t="s">
        <v>129</v>
      </c>
      <c r="B78" s="29" t="s">
        <v>351</v>
      </c>
      <c r="C78" s="36" t="s">
        <v>4</v>
      </c>
      <c r="D78" s="17">
        <f>(31.87*2+24)*0.4</f>
        <v>35.096000000000004</v>
      </c>
      <c r="E78" s="212"/>
      <c r="F78" s="241">
        <f t="shared" si="6"/>
        <v>0</v>
      </c>
    </row>
    <row r="79" spans="1:6" s="4" customFormat="1" ht="16" thickBot="1">
      <c r="A79" s="56"/>
      <c r="B79" s="53" t="s">
        <v>157</v>
      </c>
      <c r="C79" s="54"/>
      <c r="D79" s="55"/>
      <c r="E79" s="206"/>
      <c r="F79" s="242">
        <f>SUM(F74:F78)</f>
        <v>0</v>
      </c>
    </row>
    <row r="80" spans="1:6" s="4" customFormat="1">
      <c r="A80" s="14"/>
      <c r="B80" s="43"/>
      <c r="C80" s="12"/>
      <c r="D80" s="17"/>
      <c r="E80" s="201"/>
      <c r="F80" s="241"/>
    </row>
    <row r="81" spans="1:6" s="4" customFormat="1">
      <c r="A81" s="93" t="s">
        <v>47</v>
      </c>
      <c r="B81" s="90" t="s">
        <v>48</v>
      </c>
      <c r="C81" s="88"/>
      <c r="D81" s="89"/>
      <c r="E81" s="209"/>
      <c r="F81" s="244"/>
    </row>
    <row r="82" spans="1:6" s="4" customFormat="1">
      <c r="A82" s="14"/>
      <c r="B82" s="43"/>
      <c r="C82" s="12"/>
      <c r="D82" s="17"/>
      <c r="E82" s="201"/>
      <c r="F82" s="241"/>
    </row>
    <row r="83" spans="1:6" s="4" customFormat="1">
      <c r="A83" s="16" t="s">
        <v>49</v>
      </c>
      <c r="B83" s="43" t="s">
        <v>51</v>
      </c>
      <c r="C83" s="12"/>
      <c r="D83" s="17"/>
      <c r="E83" s="201"/>
      <c r="F83" s="241"/>
    </row>
    <row r="84" spans="1:6" s="4" customFormat="1" ht="16" thickBot="1">
      <c r="A84" s="29" t="s">
        <v>50</v>
      </c>
      <c r="B84" s="44" t="s">
        <v>162</v>
      </c>
      <c r="C84" s="12" t="s">
        <v>131</v>
      </c>
      <c r="D84" s="17">
        <v>1</v>
      </c>
      <c r="E84" s="201"/>
      <c r="F84" s="241">
        <f>D84*E84</f>
        <v>0</v>
      </c>
    </row>
    <row r="85" spans="1:6" s="4" customFormat="1" ht="16" thickBot="1">
      <c r="A85" s="81"/>
      <c r="B85" s="82" t="s">
        <v>158</v>
      </c>
      <c r="C85" s="79"/>
      <c r="D85" s="78"/>
      <c r="E85" s="213"/>
      <c r="F85" s="246">
        <f>F84</f>
        <v>0</v>
      </c>
    </row>
    <row r="86" spans="1:6" s="4" customFormat="1">
      <c r="A86" s="41"/>
      <c r="B86" s="42"/>
      <c r="C86" s="45"/>
      <c r="D86" s="46"/>
      <c r="E86" s="207"/>
      <c r="F86" s="241"/>
    </row>
    <row r="87" spans="1:6" s="4" customFormat="1">
      <c r="A87" s="93" t="s">
        <v>53</v>
      </c>
      <c r="B87" s="94" t="s">
        <v>55</v>
      </c>
      <c r="C87" s="95"/>
      <c r="D87" s="96"/>
      <c r="E87" s="214"/>
      <c r="F87" s="244"/>
    </row>
    <row r="88" spans="1:6" s="4" customFormat="1">
      <c r="A88" s="14"/>
      <c r="B88" s="47"/>
      <c r="C88" s="22"/>
      <c r="D88" s="23"/>
      <c r="E88" s="205"/>
      <c r="F88" s="241"/>
    </row>
    <row r="89" spans="1:6" s="4" customFormat="1">
      <c r="A89" s="15" t="s">
        <v>328</v>
      </c>
      <c r="B89" s="47" t="s">
        <v>134</v>
      </c>
      <c r="C89" s="12"/>
      <c r="D89" s="17"/>
      <c r="E89" s="201"/>
      <c r="F89" s="241"/>
    </row>
    <row r="90" spans="1:6" s="4" customFormat="1">
      <c r="A90" s="15" t="s">
        <v>329</v>
      </c>
      <c r="B90" s="16" t="s">
        <v>352</v>
      </c>
      <c r="C90" s="12" t="s">
        <v>9</v>
      </c>
      <c r="D90" s="17">
        <v>3</v>
      </c>
      <c r="E90" s="201"/>
      <c r="F90" s="241">
        <f>D90*E90</f>
        <v>0</v>
      </c>
    </row>
    <row r="91" spans="1:6" s="4" customFormat="1">
      <c r="A91" s="15" t="s">
        <v>402</v>
      </c>
      <c r="B91" s="16" t="s">
        <v>364</v>
      </c>
      <c r="C91" s="12" t="s">
        <v>9</v>
      </c>
      <c r="D91" s="17">
        <v>5</v>
      </c>
      <c r="E91" s="201"/>
      <c r="F91" s="241">
        <f>D91*E91</f>
        <v>0</v>
      </c>
    </row>
    <row r="92" spans="1:6" s="4" customFormat="1">
      <c r="A92" s="15" t="s">
        <v>403</v>
      </c>
      <c r="B92" s="47" t="s">
        <v>135</v>
      </c>
      <c r="C92" s="12"/>
      <c r="D92" s="17"/>
      <c r="E92" s="201"/>
      <c r="F92" s="241"/>
    </row>
    <row r="93" spans="1:6" s="4" customFormat="1">
      <c r="A93" s="15" t="s">
        <v>404</v>
      </c>
      <c r="B93" s="16" t="s">
        <v>365</v>
      </c>
      <c r="C93" s="12" t="s">
        <v>9</v>
      </c>
      <c r="D93" s="17">
        <v>4</v>
      </c>
      <c r="E93" s="201"/>
      <c r="F93" s="241">
        <f t="shared" ref="F93" si="7">D93*E93</f>
        <v>0</v>
      </c>
    </row>
    <row r="94" spans="1:6" s="4" customFormat="1">
      <c r="A94" s="15" t="s">
        <v>405</v>
      </c>
      <c r="B94" s="47" t="s">
        <v>423</v>
      </c>
      <c r="C94" s="12"/>
      <c r="D94" s="17"/>
      <c r="E94" s="201"/>
      <c r="F94" s="241"/>
    </row>
    <row r="95" spans="1:6" s="4" customFormat="1" ht="16" thickBot="1">
      <c r="A95" s="15" t="s">
        <v>406</v>
      </c>
      <c r="B95" s="16" t="s">
        <v>422</v>
      </c>
      <c r="C95" s="12" t="s">
        <v>9</v>
      </c>
      <c r="D95" s="17">
        <v>2</v>
      </c>
      <c r="E95" s="201"/>
      <c r="F95" s="241">
        <f t="shared" ref="F95" si="8">D95*E95</f>
        <v>0</v>
      </c>
    </row>
    <row r="96" spans="1:6" s="4" customFormat="1" ht="16" thickBot="1">
      <c r="A96" s="81"/>
      <c r="B96" s="76" t="s">
        <v>159</v>
      </c>
      <c r="C96" s="77"/>
      <c r="D96" s="80"/>
      <c r="E96" s="215"/>
      <c r="F96" s="246">
        <f>SUM(F90:F95)</f>
        <v>0</v>
      </c>
    </row>
    <row r="97" spans="1:6" s="4" customFormat="1">
      <c r="A97" s="41"/>
      <c r="B97" s="42"/>
      <c r="C97" s="45"/>
      <c r="D97" s="46"/>
      <c r="E97" s="207"/>
      <c r="F97" s="241"/>
    </row>
    <row r="98" spans="1:6" s="4" customFormat="1">
      <c r="A98" s="93" t="s">
        <v>72</v>
      </c>
      <c r="B98" s="94" t="s">
        <v>420</v>
      </c>
      <c r="C98" s="95"/>
      <c r="D98" s="96"/>
      <c r="E98" s="214"/>
      <c r="F98" s="244"/>
    </row>
    <row r="99" spans="1:6" s="4" customFormat="1">
      <c r="A99" s="14"/>
      <c r="B99" s="47"/>
      <c r="C99" s="22"/>
      <c r="D99" s="23"/>
      <c r="E99" s="205"/>
      <c r="F99" s="241"/>
    </row>
    <row r="100" spans="1:6" s="4" customFormat="1">
      <c r="A100" s="15" t="s">
        <v>132</v>
      </c>
      <c r="B100" s="47" t="s">
        <v>424</v>
      </c>
      <c r="C100" s="12"/>
      <c r="D100" s="17"/>
      <c r="E100" s="201"/>
      <c r="F100" s="241"/>
    </row>
    <row r="101" spans="1:6" s="367" customFormat="1">
      <c r="A101" s="361" t="s">
        <v>163</v>
      </c>
      <c r="B101" s="48" t="s">
        <v>425</v>
      </c>
      <c r="C101" s="363" t="s">
        <v>9</v>
      </c>
      <c r="D101" s="364">
        <v>2</v>
      </c>
      <c r="E101" s="365"/>
      <c r="F101" s="366">
        <f>D101*E101</f>
        <v>0</v>
      </c>
    </row>
    <row r="102" spans="1:6" s="367" customFormat="1">
      <c r="A102" s="361" t="s">
        <v>163</v>
      </c>
      <c r="B102" s="368" t="s">
        <v>426</v>
      </c>
      <c r="C102" s="363" t="s">
        <v>7</v>
      </c>
      <c r="D102" s="364">
        <f>1.1*8</f>
        <v>8.8000000000000007</v>
      </c>
      <c r="E102" s="365"/>
      <c r="F102" s="366">
        <f>D102*E102</f>
        <v>0</v>
      </c>
    </row>
    <row r="103" spans="1:6" s="367" customFormat="1">
      <c r="A103" s="361" t="s">
        <v>133</v>
      </c>
      <c r="B103" s="362" t="s">
        <v>427</v>
      </c>
      <c r="C103" s="363"/>
      <c r="D103" s="364"/>
      <c r="E103" s="365"/>
      <c r="F103" s="366"/>
    </row>
    <row r="104" spans="1:6" s="367" customFormat="1" ht="16" thickBot="1">
      <c r="A104" s="361" t="s">
        <v>164</v>
      </c>
      <c r="B104" s="368" t="s">
        <v>428</v>
      </c>
      <c r="C104" s="363" t="s">
        <v>4</v>
      </c>
      <c r="D104" s="364">
        <f>1.5*1.1*2</f>
        <v>3.3000000000000003</v>
      </c>
      <c r="E104" s="365"/>
      <c r="F104" s="366">
        <f>D104*E104</f>
        <v>0</v>
      </c>
    </row>
    <row r="105" spans="1:6" s="4" customFormat="1" ht="16" thickBot="1">
      <c r="A105" s="81"/>
      <c r="B105" s="76" t="s">
        <v>421</v>
      </c>
      <c r="C105" s="77"/>
      <c r="D105" s="80"/>
      <c r="E105" s="215"/>
      <c r="F105" s="246">
        <f>SUM(F101:F104)</f>
        <v>0</v>
      </c>
    </row>
    <row r="106" spans="1:6" s="4" customFormat="1">
      <c r="A106" s="14"/>
      <c r="B106" s="11"/>
      <c r="C106" s="12"/>
      <c r="D106" s="17"/>
      <c r="E106" s="201"/>
      <c r="F106" s="241"/>
    </row>
    <row r="107" spans="1:6" s="4" customFormat="1">
      <c r="A107" s="93" t="s">
        <v>54</v>
      </c>
      <c r="B107" s="97" t="s">
        <v>11</v>
      </c>
      <c r="C107" s="88"/>
      <c r="D107" s="96"/>
      <c r="E107" s="214"/>
      <c r="F107" s="244"/>
    </row>
    <row r="108" spans="1:6" s="4" customFormat="1">
      <c r="A108" s="14"/>
      <c r="B108" s="11"/>
      <c r="C108" s="12"/>
      <c r="D108" s="23"/>
      <c r="E108" s="205"/>
      <c r="F108" s="241"/>
    </row>
    <row r="109" spans="1:6" s="30" customFormat="1">
      <c r="A109" s="15" t="s">
        <v>335</v>
      </c>
      <c r="B109" s="47" t="s">
        <v>137</v>
      </c>
      <c r="C109" s="49"/>
      <c r="D109" s="46"/>
      <c r="E109" s="216"/>
      <c r="F109" s="241"/>
    </row>
    <row r="110" spans="1:6" s="30" customFormat="1">
      <c r="A110" s="15" t="s">
        <v>337</v>
      </c>
      <c r="B110" s="48" t="s">
        <v>59</v>
      </c>
      <c r="C110" s="12" t="s">
        <v>4</v>
      </c>
      <c r="D110" s="17">
        <f>(30.27*2+9.88+7.23)*2-(3*1.46*2.2+3*1*2.2)</f>
        <v>139.06400000000002</v>
      </c>
      <c r="E110" s="201"/>
      <c r="F110" s="241">
        <f>D110*E110</f>
        <v>0</v>
      </c>
    </row>
    <row r="111" spans="1:6" s="30" customFormat="1" ht="31">
      <c r="A111" s="357" t="s">
        <v>647</v>
      </c>
      <c r="B111" s="48" t="s">
        <v>138</v>
      </c>
      <c r="C111" s="12" t="s">
        <v>4</v>
      </c>
      <c r="D111" s="17">
        <f>(30.27*2+9.88+7.23)*1.5</f>
        <v>116.47500000000001</v>
      </c>
      <c r="E111" s="201"/>
      <c r="F111" s="241">
        <f t="shared" ref="F111:F118" si="9">D111*E111</f>
        <v>0</v>
      </c>
    </row>
    <row r="112" spans="1:6" s="4" customFormat="1">
      <c r="A112" s="15" t="s">
        <v>574</v>
      </c>
      <c r="B112" s="47" t="s">
        <v>139</v>
      </c>
      <c r="C112" s="12"/>
      <c r="D112" s="17"/>
      <c r="E112" s="201"/>
      <c r="F112" s="241"/>
    </row>
    <row r="113" spans="1:6" s="4" customFormat="1">
      <c r="A113" s="15" t="s">
        <v>575</v>
      </c>
      <c r="B113" s="48" t="s">
        <v>60</v>
      </c>
      <c r="C113" s="12" t="s">
        <v>4</v>
      </c>
      <c r="D113" s="17">
        <f>(30.27*2+9.88+7.23*6)*3.5-(3*1.46*2.2+4*1*2.2)</f>
        <v>379.86400000000009</v>
      </c>
      <c r="E113" s="201"/>
      <c r="F113" s="241">
        <f t="shared" si="9"/>
        <v>0</v>
      </c>
    </row>
    <row r="114" spans="1:6" s="4" customFormat="1">
      <c r="A114" s="15" t="s">
        <v>577</v>
      </c>
      <c r="B114" s="47" t="s">
        <v>140</v>
      </c>
      <c r="C114" s="12"/>
      <c r="D114" s="17"/>
      <c r="E114" s="205"/>
      <c r="F114" s="241"/>
    </row>
    <row r="115" spans="1:6" s="4" customFormat="1" ht="28.5" customHeight="1">
      <c r="A115" s="358" t="s">
        <v>648</v>
      </c>
      <c r="B115" s="48" t="s">
        <v>141</v>
      </c>
      <c r="C115" s="12" t="s">
        <v>4</v>
      </c>
      <c r="D115" s="17">
        <f>2*(3*1.46*2.2+5*1*2.2)</f>
        <v>41.272000000000006</v>
      </c>
      <c r="E115" s="201"/>
      <c r="F115" s="241">
        <f t="shared" si="9"/>
        <v>0</v>
      </c>
    </row>
    <row r="116" spans="1:6" s="4" customFormat="1">
      <c r="A116" s="16" t="s">
        <v>578</v>
      </c>
      <c r="B116" s="47" t="s">
        <v>353</v>
      </c>
      <c r="C116" s="12"/>
      <c r="D116" s="17"/>
      <c r="E116" s="201"/>
      <c r="F116" s="241"/>
    </row>
    <row r="117" spans="1:6" s="4" customFormat="1">
      <c r="A117" s="16" t="s">
        <v>580</v>
      </c>
      <c r="B117" s="48" t="s">
        <v>417</v>
      </c>
      <c r="C117" s="12" t="s">
        <v>4</v>
      </c>
      <c r="D117" s="17">
        <f>6*1.4*3+4*3*1.4</f>
        <v>41.999999999999993</v>
      </c>
      <c r="E117" s="201"/>
      <c r="F117" s="241">
        <f t="shared" ref="F117" si="10">D117*E117</f>
        <v>0</v>
      </c>
    </row>
    <row r="118" spans="1:6" s="4" customFormat="1" ht="16" thickBot="1">
      <c r="A118" s="16" t="s">
        <v>649</v>
      </c>
      <c r="B118" s="48" t="s">
        <v>142</v>
      </c>
      <c r="C118" s="12" t="s">
        <v>4</v>
      </c>
      <c r="D118" s="17">
        <f>6*1.4*3+4*3*1.4</f>
        <v>41.999999999999993</v>
      </c>
      <c r="E118" s="201"/>
      <c r="F118" s="241">
        <f t="shared" si="9"/>
        <v>0</v>
      </c>
    </row>
    <row r="119" spans="1:6" s="4" customFormat="1" ht="16" thickBot="1">
      <c r="A119" s="75"/>
      <c r="B119" s="76" t="s">
        <v>160</v>
      </c>
      <c r="C119" s="77"/>
      <c r="D119" s="78"/>
      <c r="E119" s="79"/>
      <c r="F119" s="246">
        <f>SUM(F109:F118)</f>
        <v>0</v>
      </c>
    </row>
    <row r="120" spans="1:6" s="40" customFormat="1" ht="16" thickBot="1">
      <c r="A120" s="189"/>
      <c r="B120" s="190"/>
      <c r="C120" s="191"/>
      <c r="D120" s="192"/>
      <c r="E120" s="193"/>
      <c r="F120" s="247"/>
    </row>
    <row r="121" spans="1:6" s="4" customFormat="1" ht="16" thickBot="1">
      <c r="A121" s="59"/>
      <c r="B121" s="60" t="s">
        <v>286</v>
      </c>
      <c r="C121" s="61"/>
      <c r="D121" s="62"/>
      <c r="E121" s="63"/>
      <c r="F121" s="248">
        <f>F14+F62+F69+F79+F85+F96+F105+F119</f>
        <v>0</v>
      </c>
    </row>
    <row r="122" spans="1:6" s="40" customFormat="1" ht="16" thickBot="1">
      <c r="A122" s="189"/>
      <c r="B122" s="190"/>
      <c r="C122" s="191"/>
      <c r="D122" s="192"/>
      <c r="E122" s="193"/>
      <c r="F122" s="247"/>
    </row>
    <row r="123" spans="1:6" s="4" customFormat="1" ht="18.5" thickBot="1">
      <c r="A123" s="59"/>
      <c r="B123" s="369" t="s">
        <v>354</v>
      </c>
      <c r="C123" s="61"/>
      <c r="D123" s="194">
        <v>0.1</v>
      </c>
      <c r="E123" s="63"/>
      <c r="F123" s="249">
        <f>F121*D123</f>
        <v>0</v>
      </c>
    </row>
    <row r="124" spans="1:6" s="40" customFormat="1" ht="16" thickBot="1">
      <c r="A124" s="31"/>
      <c r="B124" s="245"/>
      <c r="C124" s="250"/>
      <c r="D124" s="251"/>
      <c r="E124" s="252"/>
      <c r="F124" s="253"/>
    </row>
    <row r="125" spans="1:6" s="4" customFormat="1" ht="16" thickBot="1">
      <c r="A125" s="59"/>
      <c r="B125" s="60" t="s">
        <v>355</v>
      </c>
      <c r="C125" s="61"/>
      <c r="D125" s="62"/>
      <c r="E125" s="63"/>
      <c r="F125" s="249">
        <f>F121+F123</f>
        <v>0</v>
      </c>
    </row>
    <row r="126" spans="1:6" s="40" customFormat="1">
      <c r="A126" s="31"/>
      <c r="B126" s="245"/>
      <c r="C126" s="250"/>
      <c r="D126" s="251"/>
      <c r="E126" s="252"/>
      <c r="F126" s="253"/>
    </row>
  </sheetData>
  <sheetProtection selectLockedCells="1"/>
  <mergeCells count="2">
    <mergeCell ref="B4:C4"/>
    <mergeCell ref="A5:F5"/>
  </mergeCells>
  <phoneticPr fontId="36" type="noConversion"/>
  <pageMargins left="0.7" right="0.7" top="0.75" bottom="0.75" header="0.3" footer="0.3"/>
  <pageSetup paperSize="9" scale="53" fitToHeight="4" orientation="portrait" r:id="rId1"/>
  <rowBreaks count="1" manualBreakCount="1">
    <brk id="7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3E77-CE56-4520-996B-ADC037FF7080}">
  <dimension ref="A1:G115"/>
  <sheetViews>
    <sheetView showGridLines="0" view="pageBreakPreview" zoomScale="90" zoomScaleSheetLayoutView="90" workbookViewId="0">
      <selection activeCell="G7" sqref="G7"/>
    </sheetView>
  </sheetViews>
  <sheetFormatPr baseColWidth="10" defaultColWidth="11.453125" defaultRowHeight="15.5"/>
  <cols>
    <col min="1" max="1" width="10" style="232" customWidth="1"/>
    <col min="2" max="2" width="61.1796875" style="232" bestFit="1" customWidth="1"/>
    <col min="3" max="3" width="8.1796875" style="2" customWidth="1"/>
    <col min="4" max="4" width="10.54296875" style="3" customWidth="1"/>
    <col min="5" max="5" width="12.54296875" style="3" customWidth="1"/>
    <col min="6" max="6" width="14.81640625" style="3" customWidth="1"/>
    <col min="7" max="16384" width="11.453125" style="2"/>
  </cols>
  <sheetData>
    <row r="1" spans="1:7" ht="29.5" customHeight="1"/>
    <row r="2" spans="1:7" ht="27.65" customHeight="1"/>
    <row r="3" spans="1:7" ht="23" customHeight="1">
      <c r="A3" s="1"/>
      <c r="B3" s="1"/>
    </row>
    <row r="4" spans="1:7" s="4" customFormat="1" ht="13" thickBot="1">
      <c r="B4" s="558"/>
      <c r="C4" s="558"/>
      <c r="D4" s="5"/>
      <c r="E4" s="229"/>
      <c r="F4" s="229"/>
    </row>
    <row r="5" spans="1:7" s="4" customFormat="1" ht="23" customHeight="1" thickBot="1">
      <c r="A5" s="559" t="s">
        <v>717</v>
      </c>
      <c r="B5" s="560"/>
      <c r="C5" s="560"/>
      <c r="D5" s="560"/>
      <c r="E5" s="560"/>
      <c r="F5" s="561"/>
    </row>
    <row r="6" spans="1:7" s="4" customFormat="1" ht="13.25" customHeight="1" thickBot="1">
      <c r="B6" s="7"/>
      <c r="C6" s="7"/>
      <c r="D6" s="8"/>
      <c r="E6" s="9"/>
      <c r="F6" s="9"/>
    </row>
    <row r="7" spans="1:7" s="360" customFormat="1" ht="33" customHeight="1" thickBot="1">
      <c r="A7" s="480" t="s">
        <v>366</v>
      </c>
      <c r="B7" s="481" t="s">
        <v>70</v>
      </c>
      <c r="C7" s="482" t="s">
        <v>75</v>
      </c>
      <c r="D7" s="483" t="s">
        <v>76</v>
      </c>
      <c r="E7" s="484" t="s">
        <v>77</v>
      </c>
      <c r="F7" s="482" t="s">
        <v>78</v>
      </c>
      <c r="G7" s="359"/>
    </row>
    <row r="8" spans="1:7" s="10" customFormat="1" ht="14.5" customHeight="1">
      <c r="A8" s="66"/>
      <c r="B8" s="65"/>
      <c r="C8" s="6"/>
      <c r="D8" s="64"/>
      <c r="E8" s="198"/>
      <c r="F8" s="6"/>
      <c r="G8" s="238"/>
    </row>
    <row r="9" spans="1:7" s="4" customFormat="1">
      <c r="A9" s="67" t="s">
        <v>147</v>
      </c>
      <c r="B9" s="68" t="s">
        <v>146</v>
      </c>
      <c r="C9" s="69"/>
      <c r="D9" s="70"/>
      <c r="E9" s="199"/>
      <c r="F9" s="263"/>
    </row>
    <row r="10" spans="1:7" s="4" customFormat="1" ht="14" customHeight="1">
      <c r="A10" s="98"/>
      <c r="B10" s="99"/>
      <c r="C10" s="32"/>
      <c r="D10" s="33"/>
      <c r="E10" s="200"/>
      <c r="F10" s="264"/>
    </row>
    <row r="11" spans="1:7" s="4" customFormat="1" ht="16.25" customHeight="1">
      <c r="A11" s="100" t="s">
        <v>68</v>
      </c>
      <c r="B11" s="101" t="s">
        <v>346</v>
      </c>
      <c r="C11" s="32" t="s">
        <v>176</v>
      </c>
      <c r="D11" s="33">
        <v>0</v>
      </c>
      <c r="E11" s="200"/>
      <c r="F11" s="265">
        <f t="shared" ref="F11:F12" si="0">D11*E11</f>
        <v>0</v>
      </c>
    </row>
    <row r="12" spans="1:7" s="4" customFormat="1" ht="15.65" customHeight="1">
      <c r="A12" s="15" t="s">
        <v>5</v>
      </c>
      <c r="B12" s="16" t="s">
        <v>175</v>
      </c>
      <c r="C12" s="12" t="s">
        <v>176</v>
      </c>
      <c r="D12" s="17">
        <v>0</v>
      </c>
      <c r="E12" s="201"/>
      <c r="F12" s="265">
        <f t="shared" si="0"/>
        <v>0</v>
      </c>
    </row>
    <row r="13" spans="1:7" s="4" customFormat="1" ht="17.5" customHeight="1" thickBot="1">
      <c r="A13" s="15" t="s">
        <v>69</v>
      </c>
      <c r="B13" s="16" t="s">
        <v>174</v>
      </c>
      <c r="C13" s="12" t="s">
        <v>176</v>
      </c>
      <c r="D13" s="17">
        <v>1</v>
      </c>
      <c r="E13" s="200"/>
      <c r="F13" s="265">
        <f>D13*E13</f>
        <v>0</v>
      </c>
    </row>
    <row r="14" spans="1:7" s="4" customFormat="1" ht="16" thickBot="1">
      <c r="A14" s="52"/>
      <c r="B14" s="53" t="s">
        <v>155</v>
      </c>
      <c r="C14" s="54"/>
      <c r="D14" s="55"/>
      <c r="E14" s="202"/>
      <c r="F14" s="266">
        <f>SUM(F11:F13)</f>
        <v>0</v>
      </c>
    </row>
    <row r="15" spans="1:7" s="4" customFormat="1">
      <c r="B15" s="71"/>
      <c r="C15" s="22"/>
      <c r="D15" s="23"/>
      <c r="E15" s="203"/>
      <c r="F15" s="265"/>
    </row>
    <row r="16" spans="1:7" s="4" customFormat="1">
      <c r="A16" s="67" t="s">
        <v>14</v>
      </c>
      <c r="B16" s="72" t="s">
        <v>148</v>
      </c>
      <c r="C16" s="73"/>
      <c r="D16" s="74"/>
      <c r="E16" s="204"/>
      <c r="F16" s="263"/>
    </row>
    <row r="17" spans="1:6" s="40" customFormat="1">
      <c r="A17" s="98"/>
      <c r="B17" s="267"/>
      <c r="C17" s="268"/>
      <c r="D17" s="269"/>
      <c r="E17" s="270"/>
      <c r="F17" s="264"/>
    </row>
    <row r="18" spans="1:6" s="4" customFormat="1">
      <c r="A18" s="14"/>
      <c r="B18" s="16" t="s">
        <v>80</v>
      </c>
      <c r="C18" s="22"/>
      <c r="D18" s="23"/>
      <c r="E18" s="205"/>
      <c r="F18" s="265"/>
    </row>
    <row r="19" spans="1:6" s="4" customFormat="1">
      <c r="A19" s="15" t="s">
        <v>79</v>
      </c>
      <c r="B19" s="16" t="s">
        <v>356</v>
      </c>
      <c r="C19" s="12" t="s">
        <v>7</v>
      </c>
      <c r="D19" s="50">
        <f>(26.7*3+9.88*2+7.23*2)</f>
        <v>114.32</v>
      </c>
      <c r="E19" s="201"/>
      <c r="F19" s="265"/>
    </row>
    <row r="20" spans="1:6" s="4" customFormat="1">
      <c r="A20" s="15" t="s">
        <v>81</v>
      </c>
      <c r="B20" s="16" t="s">
        <v>348</v>
      </c>
      <c r="C20" s="12" t="s">
        <v>10</v>
      </c>
      <c r="D20" s="50">
        <f>(26.7*3+9.88*2+7.23*2)*0.85*0.6</f>
        <v>58.303199999999997</v>
      </c>
      <c r="E20" s="201"/>
      <c r="F20" s="265">
        <f>D20*E20</f>
        <v>0</v>
      </c>
    </row>
    <row r="21" spans="1:6" s="4" customFormat="1" ht="17.5" customHeight="1">
      <c r="A21" s="15" t="s">
        <v>82</v>
      </c>
      <c r="B21" s="16" t="s">
        <v>83</v>
      </c>
      <c r="C21" s="12" t="s">
        <v>10</v>
      </c>
      <c r="D21" s="50">
        <f>(26.7*3+9.88*2+7.23*2)*0.65*0.45</f>
        <v>33.438600000000001</v>
      </c>
      <c r="E21" s="201"/>
      <c r="F21" s="265">
        <f t="shared" ref="F21:F22" si="1">D21*E21</f>
        <v>0</v>
      </c>
    </row>
    <row r="22" spans="1:6" s="4" customFormat="1" ht="17.5" customHeight="1" thickBot="1">
      <c r="A22" s="15" t="s">
        <v>84</v>
      </c>
      <c r="B22" s="16" t="s">
        <v>85</v>
      </c>
      <c r="C22" s="12" t="s">
        <v>10</v>
      </c>
      <c r="D22" s="50">
        <f>26.27*9.88*0.88</f>
        <v>228.40188799999999</v>
      </c>
      <c r="E22" s="201"/>
      <c r="F22" s="265">
        <f t="shared" si="1"/>
        <v>0</v>
      </c>
    </row>
    <row r="23" spans="1:6" s="4" customFormat="1" ht="17.5" customHeight="1" thickBot="1">
      <c r="A23" s="18"/>
      <c r="B23" s="279" t="s">
        <v>156</v>
      </c>
      <c r="C23" s="19"/>
      <c r="D23" s="20"/>
      <c r="E23" s="208"/>
      <c r="F23" s="271">
        <f>SUM(F20:F22)</f>
        <v>0</v>
      </c>
    </row>
    <row r="24" spans="1:6" s="4" customFormat="1" ht="17.5" customHeight="1">
      <c r="A24" s="24" t="s">
        <v>16</v>
      </c>
      <c r="B24" s="84" t="s">
        <v>173</v>
      </c>
      <c r="C24" s="25"/>
      <c r="D24" s="13"/>
      <c r="E24" s="207"/>
      <c r="F24" s="265"/>
    </row>
    <row r="25" spans="1:6" s="4" customFormat="1" ht="17.5" customHeight="1">
      <c r="A25" s="28" t="s">
        <v>17</v>
      </c>
      <c r="B25" s="27" t="s">
        <v>172</v>
      </c>
      <c r="C25" s="12"/>
      <c r="D25" s="17"/>
      <c r="E25" s="201"/>
      <c r="F25" s="265"/>
    </row>
    <row r="26" spans="1:6" s="4" customFormat="1" ht="17.5" customHeight="1">
      <c r="A26" s="28" t="s">
        <v>86</v>
      </c>
      <c r="B26" s="29" t="s">
        <v>87</v>
      </c>
      <c r="C26" s="12" t="s">
        <v>10</v>
      </c>
      <c r="D26" s="17">
        <f>D19*0.6*0.05</f>
        <v>3.4296000000000002</v>
      </c>
      <c r="E26" s="201"/>
      <c r="F26" s="265">
        <f>D26*E26</f>
        <v>0</v>
      </c>
    </row>
    <row r="27" spans="1:6" s="4" customFormat="1" ht="17.5" customHeight="1">
      <c r="A27" s="28" t="s">
        <v>88</v>
      </c>
      <c r="B27" s="29" t="s">
        <v>178</v>
      </c>
      <c r="C27" s="12" t="s">
        <v>10</v>
      </c>
      <c r="D27" s="17">
        <f>D19*0.6*0.1</f>
        <v>6.8592000000000004</v>
      </c>
      <c r="E27" s="201"/>
      <c r="F27" s="265">
        <f t="shared" ref="F27:F57" si="2">D27*E27</f>
        <v>0</v>
      </c>
    </row>
    <row r="28" spans="1:6" s="4" customFormat="1" ht="17.5" customHeight="1">
      <c r="A28" s="28" t="s">
        <v>89</v>
      </c>
      <c r="B28" s="29" t="s">
        <v>375</v>
      </c>
      <c r="C28" s="12" t="s">
        <v>10</v>
      </c>
      <c r="D28" s="17">
        <f>16*0.15*0.15*1+30*0.15*0.2*1+10*0.2*0.2*1</f>
        <v>1.6600000000000001</v>
      </c>
      <c r="E28" s="201"/>
      <c r="F28" s="265">
        <f t="shared" si="2"/>
        <v>0</v>
      </c>
    </row>
    <row r="29" spans="1:6" s="4" customFormat="1" ht="17.5" customHeight="1">
      <c r="A29" s="28" t="s">
        <v>90</v>
      </c>
      <c r="B29" s="29" t="s">
        <v>376</v>
      </c>
      <c r="C29" s="12" t="s">
        <v>10</v>
      </c>
      <c r="D29" s="17">
        <f>D19*0.2*0.15</f>
        <v>3.4296000000000002</v>
      </c>
      <c r="E29" s="201"/>
      <c r="F29" s="265">
        <f t="shared" si="2"/>
        <v>0</v>
      </c>
    </row>
    <row r="30" spans="1:6" s="4" customFormat="1">
      <c r="A30" s="28" t="s">
        <v>91</v>
      </c>
      <c r="B30" s="29" t="s">
        <v>180</v>
      </c>
      <c r="C30" s="12" t="s">
        <v>4</v>
      </c>
      <c r="D30" s="17">
        <f>D19*1.05</f>
        <v>120.036</v>
      </c>
      <c r="E30" s="201"/>
      <c r="F30" s="265">
        <f t="shared" si="2"/>
        <v>0</v>
      </c>
    </row>
    <row r="31" spans="1:6" s="4" customFormat="1">
      <c r="A31" s="28" t="s">
        <v>92</v>
      </c>
      <c r="B31" s="29" t="s">
        <v>367</v>
      </c>
      <c r="C31" s="32" t="s">
        <v>10</v>
      </c>
      <c r="D31" s="33">
        <f>26.47*9.88*0.1</f>
        <v>26.152360000000002</v>
      </c>
      <c r="E31" s="200"/>
      <c r="F31" s="265">
        <f t="shared" si="2"/>
        <v>0</v>
      </c>
    </row>
    <row r="32" spans="1:6" s="4" customFormat="1">
      <c r="A32" s="28"/>
      <c r="B32" s="29" t="s">
        <v>93</v>
      </c>
      <c r="C32" s="12" t="s">
        <v>4</v>
      </c>
      <c r="D32" s="17">
        <f>26.47*9.88</f>
        <v>261.52359999999999</v>
      </c>
      <c r="E32" s="201"/>
      <c r="F32" s="265">
        <f t="shared" si="2"/>
        <v>0</v>
      </c>
    </row>
    <row r="33" spans="1:6" s="4" customFormat="1">
      <c r="A33" s="28" t="s">
        <v>94</v>
      </c>
      <c r="B33" s="29" t="s">
        <v>95</v>
      </c>
      <c r="C33" s="12"/>
      <c r="D33" s="17"/>
      <c r="E33" s="201"/>
      <c r="F33" s="265"/>
    </row>
    <row r="34" spans="1:6" s="4" customFormat="1" ht="46.5">
      <c r="A34" s="28"/>
      <c r="B34" s="34" t="s">
        <v>361</v>
      </c>
      <c r="C34" s="12" t="s">
        <v>4</v>
      </c>
      <c r="D34" s="17">
        <f>26.7*0.44*4*2</f>
        <v>93.983999999999995</v>
      </c>
      <c r="E34" s="201"/>
      <c r="F34" s="265">
        <f t="shared" si="2"/>
        <v>0</v>
      </c>
    </row>
    <row r="35" spans="1:6" s="4" customFormat="1">
      <c r="A35" s="28"/>
      <c r="B35" s="31" t="s">
        <v>96</v>
      </c>
      <c r="C35" s="12" t="s">
        <v>10</v>
      </c>
      <c r="D35" s="17">
        <f>26.7*0.4*0.4*2</f>
        <v>8.5440000000000005</v>
      </c>
      <c r="E35" s="201"/>
      <c r="F35" s="265">
        <f t="shared" si="2"/>
        <v>0</v>
      </c>
    </row>
    <row r="36" spans="1:6" s="4" customFormat="1">
      <c r="A36" s="28"/>
      <c r="B36" s="31" t="s">
        <v>97</v>
      </c>
      <c r="C36" s="12" t="s">
        <v>10</v>
      </c>
      <c r="D36" s="17">
        <f>26.7*0.4*0.1*2</f>
        <v>2.1360000000000001</v>
      </c>
      <c r="E36" s="201"/>
      <c r="F36" s="265">
        <f t="shared" si="2"/>
        <v>0</v>
      </c>
    </row>
    <row r="37" spans="1:6" s="4" customFormat="1">
      <c r="A37" s="28" t="s">
        <v>24</v>
      </c>
      <c r="B37" s="83" t="s">
        <v>149</v>
      </c>
      <c r="C37" s="22"/>
      <c r="D37" s="17"/>
      <c r="E37" s="205"/>
      <c r="F37" s="265"/>
    </row>
    <row r="38" spans="1:6" s="4" customFormat="1">
      <c r="A38" s="28" t="s">
        <v>26</v>
      </c>
      <c r="B38" s="29" t="s">
        <v>368</v>
      </c>
      <c r="C38" s="12" t="s">
        <v>4</v>
      </c>
      <c r="D38" s="17">
        <f>3*(26.7*2+7.23*4)-3*(3*1.8*1.8+2.8*1.8+1.25*1.8+3*0.9*2.2+1.4*2.2)+4*(12*1.62/2)</f>
        <v>207.74999999999997</v>
      </c>
      <c r="E38" s="201"/>
      <c r="F38" s="265">
        <f t="shared" si="2"/>
        <v>0</v>
      </c>
    </row>
    <row r="39" spans="1:6" s="4" customFormat="1">
      <c r="A39" s="28" t="s">
        <v>399</v>
      </c>
      <c r="B39" s="29" t="s">
        <v>98</v>
      </c>
      <c r="C39" s="12" t="s">
        <v>10</v>
      </c>
      <c r="D39" s="17">
        <f>16*0.15*0.15*3.5+30*0.2*0.15*3.5+3.5*0.2*0.2</f>
        <v>4.5499999999999989</v>
      </c>
      <c r="E39" s="201"/>
      <c r="F39" s="265">
        <f t="shared" si="2"/>
        <v>0</v>
      </c>
    </row>
    <row r="40" spans="1:6" s="4" customFormat="1">
      <c r="A40" s="28" t="s">
        <v>150</v>
      </c>
      <c r="B40" s="29" t="s">
        <v>99</v>
      </c>
      <c r="C40" s="12" t="s">
        <v>10</v>
      </c>
      <c r="D40" s="17">
        <f>D29+(1*0.2*0.15+1.46*0.2*0.15)*3</f>
        <v>3.6510000000000002</v>
      </c>
      <c r="E40" s="201"/>
      <c r="F40" s="265">
        <f t="shared" si="2"/>
        <v>0</v>
      </c>
    </row>
    <row r="41" spans="1:6" s="4" customFormat="1">
      <c r="A41" s="28" t="s">
        <v>400</v>
      </c>
      <c r="B41" s="29" t="s">
        <v>102</v>
      </c>
      <c r="C41" s="12" t="s">
        <v>10</v>
      </c>
      <c r="D41" s="17">
        <f>4*12*0.2*0.1</f>
        <v>0.96000000000000019</v>
      </c>
      <c r="E41" s="201"/>
      <c r="F41" s="265">
        <f t="shared" si="2"/>
        <v>0</v>
      </c>
    </row>
    <row r="42" spans="1:6" s="4" customFormat="1">
      <c r="A42" s="28" t="s">
        <v>101</v>
      </c>
      <c r="B42" s="29" t="s">
        <v>33</v>
      </c>
      <c r="C42" s="12"/>
      <c r="D42" s="17"/>
      <c r="E42" s="201"/>
      <c r="F42" s="265"/>
    </row>
    <row r="43" spans="1:6" s="4" customFormat="1">
      <c r="A43" s="28"/>
      <c r="B43" s="29" t="s">
        <v>177</v>
      </c>
      <c r="C43" s="12" t="s">
        <v>4</v>
      </c>
      <c r="D43" s="17">
        <f>(26.7*2+7.23*2)*3+9.72*2-D46-4*0.9*2.2+3*1.4+6*(12*1.6/2)</f>
        <v>225.87</v>
      </c>
      <c r="E43" s="201"/>
      <c r="F43" s="265">
        <f t="shared" si="2"/>
        <v>0</v>
      </c>
    </row>
    <row r="44" spans="1:6" s="4" customFormat="1">
      <c r="A44" s="28"/>
      <c r="B44" s="29" t="s">
        <v>179</v>
      </c>
      <c r="C44" s="12" t="s">
        <v>4</v>
      </c>
      <c r="D44" s="17">
        <f>3*(26.7*2+7.23*6+3.5)-D43-4*1*2.2+3*1.4*2.2+6*(12*1.6/2)</f>
        <v>133.01000000000005</v>
      </c>
      <c r="E44" s="201"/>
      <c r="F44" s="265">
        <f t="shared" si="2"/>
        <v>0</v>
      </c>
    </row>
    <row r="45" spans="1:6" s="4" customFormat="1">
      <c r="A45" s="28" t="s">
        <v>28</v>
      </c>
      <c r="B45" s="29" t="s">
        <v>103</v>
      </c>
      <c r="C45" s="12"/>
      <c r="D45" s="17"/>
      <c r="E45" s="201"/>
      <c r="F45" s="265"/>
    </row>
    <row r="46" spans="1:6" s="4" customFormat="1" ht="31">
      <c r="A46" s="28" t="s">
        <v>29</v>
      </c>
      <c r="B46" s="51" t="s">
        <v>143</v>
      </c>
      <c r="C46" s="12" t="s">
        <v>104</v>
      </c>
      <c r="D46" s="17">
        <f>3*3*1.8*1.8+3*2.8*1.8+3*1.25*1.8</f>
        <v>51.03</v>
      </c>
      <c r="E46" s="201"/>
      <c r="F46" s="265">
        <f t="shared" si="2"/>
        <v>0</v>
      </c>
    </row>
    <row r="47" spans="1:6" s="4" customFormat="1">
      <c r="A47" s="28" t="s">
        <v>6</v>
      </c>
      <c r="B47" s="83" t="s">
        <v>34</v>
      </c>
      <c r="C47" s="12"/>
      <c r="D47" s="17"/>
      <c r="E47" s="201"/>
      <c r="F47" s="265"/>
    </row>
    <row r="48" spans="1:6" s="4" customFormat="1" ht="32.25" customHeight="1">
      <c r="A48" s="28" t="s">
        <v>30</v>
      </c>
      <c r="B48" s="51" t="s">
        <v>418</v>
      </c>
      <c r="C48" s="12" t="s">
        <v>9</v>
      </c>
      <c r="D48" s="17">
        <v>3</v>
      </c>
      <c r="E48" s="201"/>
      <c r="F48" s="265">
        <f t="shared" ref="F48" si="3">D48*E48</f>
        <v>0</v>
      </c>
    </row>
    <row r="49" spans="1:6" s="4" customFormat="1" ht="36" customHeight="1">
      <c r="A49" s="28" t="s">
        <v>30</v>
      </c>
      <c r="B49" s="51" t="s">
        <v>418</v>
      </c>
      <c r="C49" s="12" t="s">
        <v>9</v>
      </c>
      <c r="D49" s="17">
        <v>3</v>
      </c>
      <c r="E49" s="201"/>
      <c r="F49" s="265">
        <f t="shared" si="2"/>
        <v>0</v>
      </c>
    </row>
    <row r="50" spans="1:6" s="4" customFormat="1" ht="21.75" customHeight="1">
      <c r="A50" s="28" t="s">
        <v>31</v>
      </c>
      <c r="B50" s="29" t="s">
        <v>152</v>
      </c>
      <c r="C50" s="12" t="s">
        <v>9</v>
      </c>
      <c r="D50" s="17">
        <v>3</v>
      </c>
      <c r="E50" s="201"/>
      <c r="F50" s="265">
        <f t="shared" si="2"/>
        <v>0</v>
      </c>
    </row>
    <row r="51" spans="1:6" s="4" customFormat="1">
      <c r="A51" s="28" t="s">
        <v>108</v>
      </c>
      <c r="B51" s="27" t="s">
        <v>36</v>
      </c>
      <c r="C51" s="12"/>
      <c r="D51" s="17"/>
      <c r="E51" s="201"/>
      <c r="F51" s="265"/>
    </row>
    <row r="52" spans="1:6" s="4" customFormat="1">
      <c r="A52" s="28" t="s">
        <v>109</v>
      </c>
      <c r="B52" s="29" t="s">
        <v>105</v>
      </c>
      <c r="C52" s="12" t="s">
        <v>10</v>
      </c>
      <c r="D52" s="17">
        <f>1*1.5*0.3</f>
        <v>0.44999999999999996</v>
      </c>
      <c r="E52" s="201"/>
      <c r="F52" s="265">
        <f t="shared" si="2"/>
        <v>0</v>
      </c>
    </row>
    <row r="53" spans="1:6" s="4" customFormat="1">
      <c r="A53" s="28" t="s">
        <v>110</v>
      </c>
      <c r="B53" s="16" t="s">
        <v>107</v>
      </c>
      <c r="C53" s="12" t="s">
        <v>10</v>
      </c>
      <c r="D53" s="17">
        <f>1*1.5*0.2</f>
        <v>0.30000000000000004</v>
      </c>
      <c r="E53" s="201"/>
      <c r="F53" s="265">
        <f t="shared" si="2"/>
        <v>0</v>
      </c>
    </row>
    <row r="54" spans="1:6" s="4" customFormat="1">
      <c r="A54" s="28" t="s">
        <v>111</v>
      </c>
      <c r="B54" s="29" t="s">
        <v>87</v>
      </c>
      <c r="C54" s="12" t="s">
        <v>10</v>
      </c>
      <c r="D54" s="17">
        <f>1*1.5*0.05</f>
        <v>7.5000000000000011E-2</v>
      </c>
      <c r="E54" s="201"/>
      <c r="F54" s="265">
        <f t="shared" si="2"/>
        <v>0</v>
      </c>
    </row>
    <row r="55" spans="1:6" s="4" customFormat="1">
      <c r="A55" s="28" t="s">
        <v>151</v>
      </c>
      <c r="B55" s="29" t="s">
        <v>106</v>
      </c>
      <c r="C55" s="12" t="s">
        <v>4</v>
      </c>
      <c r="D55" s="17">
        <f>2.5*2*0.44</f>
        <v>2.2000000000000002</v>
      </c>
      <c r="E55" s="201"/>
      <c r="F55" s="265">
        <f t="shared" si="2"/>
        <v>0</v>
      </c>
    </row>
    <row r="56" spans="1:6" s="4" customFormat="1">
      <c r="A56" s="28"/>
      <c r="B56" s="29" t="s">
        <v>20</v>
      </c>
      <c r="C56" s="12" t="s">
        <v>10</v>
      </c>
      <c r="D56" s="17">
        <f>1*1.5*0.15</f>
        <v>0.22499999999999998</v>
      </c>
      <c r="E56" s="201"/>
      <c r="F56" s="265">
        <f t="shared" si="2"/>
        <v>0</v>
      </c>
    </row>
    <row r="57" spans="1:6" s="4" customFormat="1">
      <c r="A57" s="28"/>
      <c r="B57" s="29" t="s">
        <v>61</v>
      </c>
      <c r="C57" s="12" t="s">
        <v>23</v>
      </c>
      <c r="D57" s="17">
        <f>D56*70</f>
        <v>15.749999999999998</v>
      </c>
      <c r="E57" s="201"/>
      <c r="F57" s="265">
        <f t="shared" si="2"/>
        <v>0</v>
      </c>
    </row>
    <row r="58" spans="1:6" s="4" customFormat="1">
      <c r="A58" s="28" t="s">
        <v>112</v>
      </c>
      <c r="B58" s="27" t="s">
        <v>114</v>
      </c>
      <c r="C58" s="12"/>
      <c r="D58" s="17"/>
      <c r="E58" s="201"/>
      <c r="F58" s="265"/>
    </row>
    <row r="59" spans="1:6" s="4" customFormat="1">
      <c r="A59" s="28" t="s">
        <v>113</v>
      </c>
      <c r="B59" s="85" t="s">
        <v>416</v>
      </c>
      <c r="C59" s="12" t="s">
        <v>9</v>
      </c>
      <c r="D59" s="17">
        <v>3</v>
      </c>
      <c r="E59" s="201"/>
      <c r="F59" s="265">
        <f t="shared" ref="F59:F60" si="4">D59*E59</f>
        <v>0</v>
      </c>
    </row>
    <row r="60" spans="1:6" s="4" customFormat="1" ht="16" thickBot="1">
      <c r="A60" s="28" t="s">
        <v>284</v>
      </c>
      <c r="B60" s="85" t="s">
        <v>419</v>
      </c>
      <c r="C60" s="12" t="s">
        <v>9</v>
      </c>
      <c r="D60" s="17">
        <v>3</v>
      </c>
      <c r="E60" s="201"/>
      <c r="F60" s="265">
        <f t="shared" si="4"/>
        <v>0</v>
      </c>
    </row>
    <row r="61" spans="1:6" s="4" customFormat="1" ht="17.5" customHeight="1" thickBot="1">
      <c r="A61" s="18"/>
      <c r="B61" s="91" t="s">
        <v>115</v>
      </c>
      <c r="C61" s="19"/>
      <c r="D61" s="20"/>
      <c r="E61" s="208"/>
      <c r="F61" s="271">
        <f>SUM(F26:F60)</f>
        <v>0</v>
      </c>
    </row>
    <row r="62" spans="1:6" s="4" customFormat="1" ht="16" thickBot="1">
      <c r="A62" s="52"/>
      <c r="B62" s="53" t="s">
        <v>153</v>
      </c>
      <c r="C62" s="54"/>
      <c r="D62" s="55"/>
      <c r="E62" s="206"/>
      <c r="F62" s="266">
        <f>F23+F61</f>
        <v>0</v>
      </c>
    </row>
    <row r="63" spans="1:6" s="40" customFormat="1">
      <c r="A63" s="37"/>
      <c r="B63" s="38"/>
      <c r="C63" s="39"/>
      <c r="D63" s="33"/>
      <c r="E63" s="200"/>
      <c r="F63" s="264"/>
    </row>
    <row r="64" spans="1:6" s="40" customFormat="1">
      <c r="A64" s="87" t="s">
        <v>18</v>
      </c>
      <c r="B64" s="90" t="s">
        <v>71</v>
      </c>
      <c r="C64" s="88"/>
      <c r="D64" s="89"/>
      <c r="E64" s="209"/>
      <c r="F64" s="272"/>
    </row>
    <row r="65" spans="1:6" s="40" customFormat="1">
      <c r="A65" s="86"/>
      <c r="B65" s="245"/>
      <c r="C65" s="32"/>
      <c r="D65" s="33"/>
      <c r="E65" s="200"/>
      <c r="F65" s="264"/>
    </row>
    <row r="66" spans="1:6" s="4" customFormat="1">
      <c r="A66" s="28" t="s">
        <v>116</v>
      </c>
      <c r="B66" s="29" t="s">
        <v>117</v>
      </c>
      <c r="C66" s="12"/>
      <c r="D66" s="17"/>
      <c r="E66" s="201"/>
      <c r="F66" s="265"/>
    </row>
    <row r="67" spans="1:6" s="4" customFormat="1">
      <c r="A67" s="15" t="s">
        <v>119</v>
      </c>
      <c r="B67" s="16" t="s">
        <v>120</v>
      </c>
      <c r="C67" s="12" t="s">
        <v>10</v>
      </c>
      <c r="D67" s="17">
        <f>(27.7*9.88)/100</f>
        <v>2.7367599999999999</v>
      </c>
      <c r="E67" s="210"/>
      <c r="F67" s="265">
        <f t="shared" ref="F67:F68" si="5">D67*E67</f>
        <v>0</v>
      </c>
    </row>
    <row r="68" spans="1:6" s="4" customFormat="1" ht="16" thickBot="1">
      <c r="A68" s="15" t="s">
        <v>121</v>
      </c>
      <c r="B68" s="16" t="s">
        <v>122</v>
      </c>
      <c r="C68" s="12" t="s">
        <v>9</v>
      </c>
      <c r="D68" s="17">
        <v>12</v>
      </c>
      <c r="E68" s="201"/>
      <c r="F68" s="265">
        <f t="shared" si="5"/>
        <v>0</v>
      </c>
    </row>
    <row r="69" spans="1:6" s="4" customFormat="1" ht="16" thickBot="1">
      <c r="A69" s="56"/>
      <c r="B69" s="53" t="s">
        <v>154</v>
      </c>
      <c r="C69" s="57"/>
      <c r="D69" s="58"/>
      <c r="E69" s="211"/>
      <c r="F69" s="266">
        <f>SUM(F67:F68)</f>
        <v>0</v>
      </c>
    </row>
    <row r="70" spans="1:6" s="4" customFormat="1">
      <c r="A70" s="41"/>
      <c r="B70" s="42"/>
      <c r="C70" s="25"/>
      <c r="D70" s="17"/>
      <c r="E70" s="207"/>
      <c r="F70" s="265"/>
    </row>
    <row r="71" spans="1:6" s="4" customFormat="1">
      <c r="A71" s="87" t="s">
        <v>41</v>
      </c>
      <c r="B71" s="92" t="s">
        <v>42</v>
      </c>
      <c r="C71" s="88"/>
      <c r="D71" s="89"/>
      <c r="E71" s="209"/>
      <c r="F71" s="272"/>
    </row>
    <row r="72" spans="1:6" s="4" customFormat="1">
      <c r="A72" s="26"/>
      <c r="B72" s="42"/>
      <c r="C72" s="12"/>
      <c r="D72" s="17"/>
      <c r="E72" s="201"/>
      <c r="F72" s="265"/>
    </row>
    <row r="73" spans="1:6" s="4" customFormat="1">
      <c r="A73" s="28" t="s">
        <v>123</v>
      </c>
      <c r="B73" s="42" t="s">
        <v>161</v>
      </c>
      <c r="C73" s="12"/>
      <c r="D73" s="17"/>
      <c r="E73" s="201"/>
      <c r="F73" s="265"/>
    </row>
    <row r="74" spans="1:6" s="4" customFormat="1">
      <c r="A74" s="28" t="s">
        <v>124</v>
      </c>
      <c r="B74" s="29" t="s">
        <v>711</v>
      </c>
      <c r="C74" s="12" t="s">
        <v>4</v>
      </c>
      <c r="D74" s="17">
        <f>27.7*12</f>
        <v>332.4</v>
      </c>
      <c r="E74" s="201"/>
      <c r="F74" s="265">
        <f>D74*E74</f>
        <v>0</v>
      </c>
    </row>
    <row r="75" spans="1:6" s="4" customFormat="1">
      <c r="A75" s="28" t="s">
        <v>125</v>
      </c>
      <c r="B75" s="42" t="s">
        <v>126</v>
      </c>
      <c r="C75" s="12"/>
      <c r="D75" s="17"/>
      <c r="E75" s="201"/>
      <c r="F75" s="265"/>
    </row>
    <row r="76" spans="1:6" s="4" customFormat="1">
      <c r="A76" s="28" t="s">
        <v>127</v>
      </c>
      <c r="B76" s="29" t="s">
        <v>712</v>
      </c>
      <c r="C76" s="12" t="s">
        <v>7</v>
      </c>
      <c r="D76" s="17">
        <v>27.7</v>
      </c>
      <c r="E76" s="201"/>
      <c r="F76" s="265">
        <f t="shared" ref="F76:F78" si="6">D76*E76</f>
        <v>0</v>
      </c>
    </row>
    <row r="77" spans="1:6" s="4" customFormat="1">
      <c r="A77" s="28" t="s">
        <v>128</v>
      </c>
      <c r="B77" s="42" t="s">
        <v>130</v>
      </c>
      <c r="C77" s="22"/>
      <c r="D77" s="17"/>
      <c r="E77" s="205"/>
      <c r="F77" s="265"/>
    </row>
    <row r="78" spans="1:6" s="4" customFormat="1" ht="16" thickBot="1">
      <c r="A78" s="35" t="s">
        <v>129</v>
      </c>
      <c r="B78" s="29" t="s">
        <v>369</v>
      </c>
      <c r="C78" s="36" t="s">
        <v>4</v>
      </c>
      <c r="D78" s="17">
        <f>(27.7*2+6*4)*0.4</f>
        <v>31.760000000000005</v>
      </c>
      <c r="E78" s="212"/>
      <c r="F78" s="265">
        <f t="shared" si="6"/>
        <v>0</v>
      </c>
    </row>
    <row r="79" spans="1:6" s="4" customFormat="1" ht="16" thickBot="1">
      <c r="A79" s="56"/>
      <c r="B79" s="53" t="s">
        <v>157</v>
      </c>
      <c r="C79" s="54"/>
      <c r="D79" s="55"/>
      <c r="E79" s="206"/>
      <c r="F79" s="266">
        <f>SUM(F74:F78)</f>
        <v>0</v>
      </c>
    </row>
    <row r="80" spans="1:6" s="4" customFormat="1">
      <c r="A80" s="14"/>
      <c r="B80" s="43"/>
      <c r="C80" s="12"/>
      <c r="D80" s="17"/>
      <c r="E80" s="201"/>
      <c r="F80" s="265"/>
    </row>
    <row r="81" spans="1:6" s="4" customFormat="1">
      <c r="A81" s="93" t="s">
        <v>47</v>
      </c>
      <c r="B81" s="90" t="s">
        <v>48</v>
      </c>
      <c r="C81" s="88"/>
      <c r="D81" s="89"/>
      <c r="E81" s="209"/>
      <c r="F81" s="272"/>
    </row>
    <row r="82" spans="1:6" s="4" customFormat="1">
      <c r="A82" s="14"/>
      <c r="B82" s="43"/>
      <c r="C82" s="12"/>
      <c r="D82" s="17"/>
      <c r="E82" s="201"/>
      <c r="F82" s="265"/>
    </row>
    <row r="83" spans="1:6" s="4" customFormat="1">
      <c r="A83" s="16" t="s">
        <v>49</v>
      </c>
      <c r="B83" s="43" t="s">
        <v>51</v>
      </c>
      <c r="C83" s="12"/>
      <c r="D83" s="17"/>
      <c r="E83" s="201"/>
      <c r="F83" s="265"/>
    </row>
    <row r="84" spans="1:6" s="4" customFormat="1" ht="16" thickBot="1">
      <c r="A84" s="29" t="s">
        <v>50</v>
      </c>
      <c r="B84" s="44" t="s">
        <v>162</v>
      </c>
      <c r="C84" s="12" t="s">
        <v>131</v>
      </c>
      <c r="D84" s="17">
        <v>1</v>
      </c>
      <c r="E84" s="201"/>
      <c r="F84" s="265">
        <f>D84*E84</f>
        <v>0</v>
      </c>
    </row>
    <row r="85" spans="1:6" s="4" customFormat="1" ht="16" thickBot="1">
      <c r="A85" s="81"/>
      <c r="B85" s="82" t="s">
        <v>158</v>
      </c>
      <c r="C85" s="79"/>
      <c r="D85" s="78"/>
      <c r="E85" s="213"/>
      <c r="F85" s="273">
        <f>F84</f>
        <v>0</v>
      </c>
    </row>
    <row r="86" spans="1:6" s="4" customFormat="1">
      <c r="A86" s="41"/>
      <c r="B86" s="42"/>
      <c r="C86" s="45"/>
      <c r="D86" s="46"/>
      <c r="E86" s="207"/>
      <c r="F86" s="265"/>
    </row>
    <row r="87" spans="1:6" s="4" customFormat="1">
      <c r="A87" s="93" t="s">
        <v>53</v>
      </c>
      <c r="B87" s="94" t="s">
        <v>55</v>
      </c>
      <c r="C87" s="95"/>
      <c r="D87" s="96"/>
      <c r="E87" s="214"/>
      <c r="F87" s="272"/>
    </row>
    <row r="88" spans="1:6" s="4" customFormat="1">
      <c r="A88" s="14"/>
      <c r="B88" s="47"/>
      <c r="C88" s="22"/>
      <c r="D88" s="23"/>
      <c r="E88" s="205"/>
      <c r="F88" s="265"/>
    </row>
    <row r="89" spans="1:6" s="4" customFormat="1">
      <c r="A89" s="15" t="s">
        <v>328</v>
      </c>
      <c r="B89" s="47" t="s">
        <v>134</v>
      </c>
      <c r="C89" s="12"/>
      <c r="D89" s="17"/>
      <c r="E89" s="201"/>
      <c r="F89" s="265"/>
    </row>
    <row r="90" spans="1:6" s="4" customFormat="1">
      <c r="A90" s="15" t="s">
        <v>329</v>
      </c>
      <c r="B90" s="16" t="s">
        <v>352</v>
      </c>
      <c r="C90" s="12" t="s">
        <v>9</v>
      </c>
      <c r="D90" s="17">
        <v>3</v>
      </c>
      <c r="E90" s="201"/>
      <c r="F90" s="265">
        <f>D90*E90</f>
        <v>0</v>
      </c>
    </row>
    <row r="91" spans="1:6" s="4" customFormat="1">
      <c r="A91" s="15" t="s">
        <v>329</v>
      </c>
      <c r="B91" s="16" t="s">
        <v>374</v>
      </c>
      <c r="C91" s="12" t="s">
        <v>9</v>
      </c>
      <c r="D91" s="17">
        <v>3</v>
      </c>
      <c r="E91" s="201"/>
      <c r="F91" s="265">
        <f>D91*E91</f>
        <v>0</v>
      </c>
    </row>
    <row r="92" spans="1:6" s="4" customFormat="1">
      <c r="A92" s="15" t="s">
        <v>403</v>
      </c>
      <c r="B92" s="47" t="s">
        <v>135</v>
      </c>
      <c r="C92" s="12"/>
      <c r="D92" s="17"/>
      <c r="E92" s="201"/>
      <c r="F92" s="265"/>
    </row>
    <row r="93" spans="1:6" s="4" customFormat="1" ht="16" thickBot="1">
      <c r="A93" s="15" t="s">
        <v>404</v>
      </c>
      <c r="B93" s="16" t="s">
        <v>370</v>
      </c>
      <c r="C93" s="12" t="s">
        <v>9</v>
      </c>
      <c r="D93" s="17">
        <v>3</v>
      </c>
      <c r="E93" s="201"/>
      <c r="F93" s="265">
        <f t="shared" ref="F93" si="7">D93*E93</f>
        <v>0</v>
      </c>
    </row>
    <row r="94" spans="1:6" s="4" customFormat="1" ht="16" thickBot="1">
      <c r="A94" s="81"/>
      <c r="B94" s="76" t="s">
        <v>159</v>
      </c>
      <c r="C94" s="77"/>
      <c r="D94" s="80"/>
      <c r="E94" s="215"/>
      <c r="F94" s="273">
        <f>SUM(F90:F93)</f>
        <v>0</v>
      </c>
    </row>
    <row r="95" spans="1:6" s="4" customFormat="1">
      <c r="A95" s="14"/>
      <c r="B95" s="11"/>
      <c r="C95" s="12"/>
      <c r="D95" s="17"/>
      <c r="E95" s="201"/>
      <c r="F95" s="265"/>
    </row>
    <row r="96" spans="1:6" s="4" customFormat="1">
      <c r="A96" s="93" t="s">
        <v>72</v>
      </c>
      <c r="B96" s="97" t="s">
        <v>11</v>
      </c>
      <c r="C96" s="88"/>
      <c r="D96" s="96"/>
      <c r="E96" s="214"/>
      <c r="F96" s="272"/>
    </row>
    <row r="97" spans="1:7" s="4" customFormat="1">
      <c r="A97" s="14"/>
      <c r="B97" s="11"/>
      <c r="C97" s="12"/>
      <c r="D97" s="23"/>
      <c r="E97" s="205"/>
      <c r="F97" s="265"/>
    </row>
    <row r="98" spans="1:7" s="30" customFormat="1">
      <c r="A98" s="15" t="s">
        <v>132</v>
      </c>
      <c r="B98" s="47" t="s">
        <v>137</v>
      </c>
      <c r="C98" s="49"/>
      <c r="D98" s="46"/>
      <c r="E98" s="216"/>
      <c r="F98" s="265"/>
      <c r="G98" s="4"/>
    </row>
    <row r="99" spans="1:7" s="30" customFormat="1">
      <c r="A99" s="15" t="s">
        <v>163</v>
      </c>
      <c r="B99" s="48" t="s">
        <v>59</v>
      </c>
      <c r="C99" s="12" t="s">
        <v>4</v>
      </c>
      <c r="D99" s="17">
        <f>(26.7*2+7.23*2)*2</f>
        <v>135.72</v>
      </c>
      <c r="E99" s="201"/>
      <c r="F99" s="265">
        <f>D99*E99</f>
        <v>0</v>
      </c>
      <c r="G99" s="4"/>
    </row>
    <row r="100" spans="1:7" s="30" customFormat="1" ht="31">
      <c r="A100" s="15" t="s">
        <v>407</v>
      </c>
      <c r="B100" s="48" t="s">
        <v>138</v>
      </c>
      <c r="C100" s="12" t="s">
        <v>4</v>
      </c>
      <c r="D100" s="17">
        <f>1.5*(26.7*2+7.23*2)</f>
        <v>101.78999999999999</v>
      </c>
      <c r="E100" s="201"/>
      <c r="F100" s="265">
        <f t="shared" ref="F100:F104" si="8">D100*E100</f>
        <v>0</v>
      </c>
      <c r="G100" s="4"/>
    </row>
    <row r="101" spans="1:7" s="4" customFormat="1">
      <c r="A101" s="15" t="s">
        <v>133</v>
      </c>
      <c r="B101" s="47" t="s">
        <v>139</v>
      </c>
      <c r="C101" s="12"/>
      <c r="D101" s="17"/>
      <c r="E101" s="201"/>
      <c r="F101" s="265"/>
    </row>
    <row r="102" spans="1:7" s="4" customFormat="1">
      <c r="A102" s="15" t="s">
        <v>164</v>
      </c>
      <c r="B102" s="48" t="s">
        <v>60</v>
      </c>
      <c r="C102" s="12" t="s">
        <v>4</v>
      </c>
      <c r="D102" s="17">
        <f>3.5*(26.7*2+7.23*6)</f>
        <v>338.73</v>
      </c>
      <c r="E102" s="201"/>
      <c r="F102" s="265">
        <f t="shared" si="8"/>
        <v>0</v>
      </c>
    </row>
    <row r="103" spans="1:7" s="4" customFormat="1">
      <c r="A103" s="16" t="s">
        <v>408</v>
      </c>
      <c r="B103" s="47" t="s">
        <v>140</v>
      </c>
      <c r="C103" s="12"/>
      <c r="D103" s="17"/>
      <c r="E103" s="205"/>
      <c r="F103" s="265"/>
    </row>
    <row r="104" spans="1:7" s="4" customFormat="1" ht="15" customHeight="1">
      <c r="A104" s="16" t="s">
        <v>410</v>
      </c>
      <c r="B104" s="48" t="s">
        <v>141</v>
      </c>
      <c r="C104" s="12" t="s">
        <v>4</v>
      </c>
      <c r="D104" s="17">
        <f>3*1.45*2.2*2+4*2*1*2.2</f>
        <v>36.74</v>
      </c>
      <c r="E104" s="201"/>
      <c r="F104" s="265">
        <f t="shared" si="8"/>
        <v>0</v>
      </c>
    </row>
    <row r="105" spans="1:7" s="4" customFormat="1">
      <c r="A105" s="16" t="s">
        <v>409</v>
      </c>
      <c r="B105" s="47" t="s">
        <v>353</v>
      </c>
      <c r="C105" s="12"/>
      <c r="D105" s="17"/>
      <c r="E105" s="201"/>
      <c r="F105" s="265"/>
    </row>
    <row r="106" spans="1:7" s="4" customFormat="1">
      <c r="A106" s="16" t="s">
        <v>411</v>
      </c>
      <c r="B106" s="48" t="s">
        <v>417</v>
      </c>
      <c r="C106" s="12" t="s">
        <v>4</v>
      </c>
      <c r="D106" s="17">
        <f>6*1.4*3+3*3*1.4</f>
        <v>37.799999999999997</v>
      </c>
      <c r="E106" s="201"/>
      <c r="F106" s="265">
        <f t="shared" ref="F106:F107" si="9">D106*E106</f>
        <v>0</v>
      </c>
    </row>
    <row r="107" spans="1:7" s="4" customFormat="1" ht="16" thickBot="1">
      <c r="A107" s="16" t="s">
        <v>412</v>
      </c>
      <c r="B107" s="48" t="s">
        <v>142</v>
      </c>
      <c r="C107" s="12" t="s">
        <v>4</v>
      </c>
      <c r="D107" s="17">
        <f>6*1.4*3+3*3*1.4</f>
        <v>37.799999999999997</v>
      </c>
      <c r="E107" s="201"/>
      <c r="F107" s="265">
        <f t="shared" si="9"/>
        <v>0</v>
      </c>
    </row>
    <row r="108" spans="1:7" s="4" customFormat="1" ht="16" thickBot="1">
      <c r="A108" s="75"/>
      <c r="B108" s="76" t="s">
        <v>160</v>
      </c>
      <c r="C108" s="77"/>
      <c r="D108" s="78"/>
      <c r="E108" s="79"/>
      <c r="F108" s="274">
        <f>SUM(F98:F107)</f>
        <v>0</v>
      </c>
    </row>
    <row r="109" spans="1:7" s="40" customFormat="1" ht="16" thickBot="1">
      <c r="A109" s="189"/>
      <c r="B109" s="190"/>
      <c r="C109" s="191"/>
      <c r="D109" s="192"/>
      <c r="E109" s="193"/>
      <c r="F109" s="275"/>
    </row>
    <row r="110" spans="1:7" s="4" customFormat="1" ht="16" thickBot="1">
      <c r="A110" s="59"/>
      <c r="B110" s="60" t="s">
        <v>371</v>
      </c>
      <c r="C110" s="61"/>
      <c r="D110" s="62"/>
      <c r="E110" s="63"/>
      <c r="F110" s="276">
        <f>F108+F94+F85+F79+F69+F62+F14</f>
        <v>0</v>
      </c>
    </row>
    <row r="111" spans="1:7" s="40" customFormat="1" ht="16" thickBot="1">
      <c r="A111" s="189"/>
      <c r="B111" s="277"/>
      <c r="C111" s="191"/>
      <c r="D111" s="192"/>
      <c r="E111" s="193"/>
      <c r="F111" s="275"/>
    </row>
    <row r="112" spans="1:7" s="4" customFormat="1" ht="16" thickBot="1">
      <c r="A112" s="59"/>
      <c r="B112" s="60" t="s">
        <v>354</v>
      </c>
      <c r="C112" s="61"/>
      <c r="D112" s="194">
        <v>0.1</v>
      </c>
      <c r="E112" s="63"/>
      <c r="F112" s="276">
        <f>F110*D112</f>
        <v>0</v>
      </c>
    </row>
    <row r="113" spans="1:6" s="40" customFormat="1" ht="16" thickBot="1">
      <c r="A113" s="31"/>
      <c r="B113" s="245"/>
      <c r="C113" s="250"/>
      <c r="D113" s="251"/>
      <c r="E113" s="252"/>
      <c r="F113" s="278"/>
    </row>
    <row r="114" spans="1:6" s="4" customFormat="1" ht="16" thickBot="1">
      <c r="A114" s="59"/>
      <c r="B114" s="60" t="s">
        <v>372</v>
      </c>
      <c r="C114" s="61"/>
      <c r="D114" s="62"/>
      <c r="E114" s="63"/>
      <c r="F114" s="276">
        <f>F112+F110</f>
        <v>0</v>
      </c>
    </row>
    <row r="115" spans="1:6" s="40" customFormat="1">
      <c r="A115" s="31"/>
      <c r="B115" s="245"/>
      <c r="C115" s="250"/>
      <c r="D115" s="251"/>
      <c r="E115" s="252"/>
      <c r="F115" s="278"/>
    </row>
  </sheetData>
  <sheetProtection selectLockedCells="1"/>
  <mergeCells count="2">
    <mergeCell ref="B4:C4"/>
    <mergeCell ref="A5:F5"/>
  </mergeCells>
  <phoneticPr fontId="36" type="noConversion"/>
  <pageMargins left="0.7" right="0.7" top="0.75" bottom="0.75" header="0.3" footer="0.3"/>
  <pageSetup paperSize="9" scale="55" fitToHeight="4" orientation="portrait" r:id="rId1"/>
  <rowBreaks count="1" manualBreakCount="1">
    <brk id="79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77FC-048B-4515-950F-D68FB8D21A9B}">
  <sheetPr>
    <tabColor theme="0"/>
  </sheetPr>
  <dimension ref="A1:H135"/>
  <sheetViews>
    <sheetView view="pageBreakPreview" topLeftCell="A76" zoomScaleNormal="100" zoomScaleSheetLayoutView="100" workbookViewId="0">
      <selection activeCell="B87" sqref="B87"/>
    </sheetView>
  </sheetViews>
  <sheetFormatPr baseColWidth="10" defaultRowHeight="14.5"/>
  <cols>
    <col min="2" max="2" width="53.1796875" customWidth="1"/>
    <col min="3" max="3" width="7.1796875" customWidth="1"/>
    <col min="6" max="6" width="15.54296875" customWidth="1"/>
  </cols>
  <sheetData>
    <row r="1" spans="1:6" ht="89.5" customHeight="1">
      <c r="A1" s="566"/>
      <c r="B1" s="566"/>
      <c r="C1" s="566"/>
      <c r="D1" s="566"/>
      <c r="E1" s="566"/>
      <c r="F1" s="566"/>
    </row>
    <row r="2" spans="1:6">
      <c r="D2" s="188"/>
    </row>
    <row r="3" spans="1:6" s="197" customFormat="1" ht="17.25" customHeight="1">
      <c r="A3" s="567" t="s">
        <v>360</v>
      </c>
      <c r="B3" s="568"/>
      <c r="C3" s="568"/>
      <c r="D3" s="568"/>
      <c r="E3" s="568"/>
      <c r="F3" s="569"/>
    </row>
    <row r="4" spans="1:6" s="29" customFormat="1" ht="12.75" customHeight="1" thickBot="1">
      <c r="A4" s="111"/>
      <c r="B4" s="111"/>
      <c r="C4" s="112"/>
      <c r="D4" s="113"/>
      <c r="E4" s="112"/>
      <c r="F4" s="112"/>
    </row>
    <row r="5" spans="1:6" s="29" customFormat="1" ht="44" thickTop="1">
      <c r="A5" s="114" t="s">
        <v>12</v>
      </c>
      <c r="B5" s="115" t="s">
        <v>8</v>
      </c>
      <c r="C5" s="116" t="s">
        <v>0</v>
      </c>
      <c r="D5" s="117" t="s">
        <v>2</v>
      </c>
      <c r="E5" s="116" t="s">
        <v>3</v>
      </c>
      <c r="F5" s="116" t="s">
        <v>1</v>
      </c>
    </row>
    <row r="6" spans="1:6" s="29" customFormat="1" ht="15.5">
      <c r="A6" s="118"/>
      <c r="B6" s="119"/>
      <c r="C6" s="120"/>
      <c r="D6" s="121"/>
      <c r="E6" s="217"/>
      <c r="F6" s="120"/>
    </row>
    <row r="7" spans="1:6" s="29" customFormat="1" ht="18" customHeight="1">
      <c r="A7" s="122" t="s">
        <v>13</v>
      </c>
      <c r="B7" s="123" t="s">
        <v>181</v>
      </c>
      <c r="C7" s="124"/>
      <c r="D7" s="125"/>
      <c r="E7" s="218"/>
      <c r="F7" s="124"/>
    </row>
    <row r="8" spans="1:6" s="31" customFormat="1" ht="18" customHeight="1">
      <c r="A8" s="126" t="s">
        <v>68</v>
      </c>
      <c r="B8" s="127" t="s">
        <v>347</v>
      </c>
      <c r="C8" s="128" t="s">
        <v>182</v>
      </c>
      <c r="D8" s="129">
        <v>0</v>
      </c>
      <c r="E8" s="219"/>
      <c r="F8" s="130">
        <f>D8*E8</f>
        <v>0</v>
      </c>
    </row>
    <row r="9" spans="1:6" s="31" customFormat="1" ht="18" customHeight="1">
      <c r="A9" s="126" t="s">
        <v>5</v>
      </c>
      <c r="B9" s="127" t="s">
        <v>175</v>
      </c>
      <c r="C9" s="128" t="s">
        <v>182</v>
      </c>
      <c r="D9" s="129">
        <v>0</v>
      </c>
      <c r="E9" s="219"/>
      <c r="F9" s="130">
        <f>D9*E9</f>
        <v>0</v>
      </c>
    </row>
    <row r="10" spans="1:6" s="31" customFormat="1" ht="18" customHeight="1">
      <c r="A10" s="126" t="s">
        <v>69</v>
      </c>
      <c r="B10" s="127">
        <v>1</v>
      </c>
      <c r="C10" s="128" t="s">
        <v>182</v>
      </c>
      <c r="D10" s="129">
        <v>1</v>
      </c>
      <c r="E10" s="219"/>
      <c r="F10" s="130">
        <f>D10*E10</f>
        <v>0</v>
      </c>
    </row>
    <row r="11" spans="1:6" s="29" customFormat="1" ht="15.5">
      <c r="A11" s="118"/>
      <c r="B11" s="131" t="s">
        <v>183</v>
      </c>
      <c r="C11" s="132"/>
      <c r="D11" s="133"/>
      <c r="E11" s="220"/>
      <c r="F11" s="134">
        <f>SUM(F8:F10)</f>
        <v>0</v>
      </c>
    </row>
    <row r="12" spans="1:6" s="29" customFormat="1" ht="15.5">
      <c r="A12" s="118"/>
      <c r="B12" s="119"/>
      <c r="C12" s="120"/>
      <c r="D12" s="135"/>
      <c r="E12" s="221"/>
      <c r="F12" s="136"/>
    </row>
    <row r="13" spans="1:6" s="29" customFormat="1" ht="15.5">
      <c r="A13" s="122" t="s">
        <v>14</v>
      </c>
      <c r="B13" s="123" t="s">
        <v>15</v>
      </c>
      <c r="C13" s="124"/>
      <c r="D13" s="125"/>
      <c r="E13" s="218"/>
      <c r="F13" s="124"/>
    </row>
    <row r="14" spans="1:6" s="29" customFormat="1" ht="17.25" customHeight="1">
      <c r="A14" s="137">
        <v>2</v>
      </c>
      <c r="B14" s="138" t="s">
        <v>184</v>
      </c>
      <c r="C14" s="139"/>
      <c r="D14" s="140"/>
      <c r="E14" s="222"/>
      <c r="F14" s="136"/>
    </row>
    <row r="15" spans="1:6" s="31" customFormat="1" ht="17.25" customHeight="1">
      <c r="A15" s="126" t="s">
        <v>79</v>
      </c>
      <c r="B15" s="141" t="s">
        <v>358</v>
      </c>
      <c r="C15" s="142" t="s">
        <v>282</v>
      </c>
      <c r="D15" s="143">
        <f>49.75*0.85*0.6</f>
        <v>25.372499999999999</v>
      </c>
      <c r="E15" s="223"/>
      <c r="F15" s="130">
        <f>D15*E15</f>
        <v>0</v>
      </c>
    </row>
    <row r="16" spans="1:6" s="31" customFormat="1" ht="17.25" customHeight="1">
      <c r="A16" s="126" t="s">
        <v>81</v>
      </c>
      <c r="B16" s="141" t="s">
        <v>185</v>
      </c>
      <c r="C16" s="142" t="s">
        <v>282</v>
      </c>
      <c r="D16" s="143">
        <f>49.75*0.45*0.4</f>
        <v>8.9550000000000001</v>
      </c>
      <c r="E16" s="223"/>
      <c r="F16" s="130">
        <f>D16*E16</f>
        <v>0</v>
      </c>
    </row>
    <row r="17" spans="1:6" s="31" customFormat="1" ht="17.25" customHeight="1">
      <c r="A17" s="126" t="s">
        <v>82</v>
      </c>
      <c r="B17" s="141" t="s">
        <v>186</v>
      </c>
      <c r="C17" s="142" t="s">
        <v>282</v>
      </c>
      <c r="D17" s="143">
        <f>12*7.45*0.75</f>
        <v>67.050000000000011</v>
      </c>
      <c r="E17" s="223"/>
      <c r="F17" s="130">
        <f>D17*E17</f>
        <v>0</v>
      </c>
    </row>
    <row r="18" spans="1:6" s="29" customFormat="1" ht="15.5">
      <c r="A18" s="144"/>
      <c r="B18" s="145" t="s">
        <v>187</v>
      </c>
      <c r="C18" s="146"/>
      <c r="D18" s="147"/>
      <c r="E18" s="224"/>
      <c r="F18" s="148">
        <f>SUM(F15:F17)</f>
        <v>0</v>
      </c>
    </row>
    <row r="19" spans="1:6" s="29" customFormat="1" ht="15.5">
      <c r="A19" s="144"/>
      <c r="B19" s="149"/>
      <c r="C19" s="120"/>
      <c r="D19" s="135"/>
      <c r="E19" s="221"/>
      <c r="F19" s="136"/>
    </row>
    <row r="20" spans="1:6" s="29" customFormat="1" ht="17.25" customHeight="1">
      <c r="A20" s="137" t="s">
        <v>16</v>
      </c>
      <c r="B20" s="138" t="s">
        <v>188</v>
      </c>
      <c r="C20" s="139"/>
      <c r="D20" s="140"/>
      <c r="E20" s="222"/>
      <c r="F20" s="136"/>
    </row>
    <row r="21" spans="1:6" s="29" customFormat="1" ht="17.25" customHeight="1">
      <c r="A21" s="150" t="s">
        <v>17</v>
      </c>
      <c r="B21" s="151" t="s">
        <v>19</v>
      </c>
      <c r="C21" s="139"/>
      <c r="D21" s="121"/>
      <c r="E21" s="222"/>
      <c r="F21" s="136"/>
    </row>
    <row r="22" spans="1:6" s="31" customFormat="1" ht="17.25" customHeight="1">
      <c r="A22" s="126" t="s">
        <v>88</v>
      </c>
      <c r="B22" s="127" t="s">
        <v>189</v>
      </c>
      <c r="C22" s="128"/>
      <c r="D22" s="143"/>
      <c r="E22" s="223"/>
      <c r="F22" s="130"/>
    </row>
    <row r="23" spans="1:6" s="31" customFormat="1" ht="17.25" customHeight="1">
      <c r="A23" s="126" t="s">
        <v>190</v>
      </c>
      <c r="B23" s="127" t="s">
        <v>20</v>
      </c>
      <c r="C23" s="128" t="s">
        <v>10</v>
      </c>
      <c r="D23" s="143">
        <f>49.75*0.6*0.2</f>
        <v>5.97</v>
      </c>
      <c r="E23" s="223"/>
      <c r="F23" s="130">
        <f t="shared" ref="F23:F36" si="0">D23*E23</f>
        <v>0</v>
      </c>
    </row>
    <row r="24" spans="1:6" s="31" customFormat="1" ht="17.25" customHeight="1">
      <c r="A24" s="126" t="s">
        <v>191</v>
      </c>
      <c r="B24" s="127" t="s">
        <v>359</v>
      </c>
      <c r="C24" s="128" t="s">
        <v>23</v>
      </c>
      <c r="D24" s="143">
        <f>D23*80</f>
        <v>477.59999999999997</v>
      </c>
      <c r="E24" s="223"/>
      <c r="F24" s="130">
        <f t="shared" si="0"/>
        <v>0</v>
      </c>
    </row>
    <row r="25" spans="1:6" s="31" customFormat="1" ht="17.25" customHeight="1">
      <c r="A25" s="126" t="s">
        <v>89</v>
      </c>
      <c r="B25" s="127" t="s">
        <v>192</v>
      </c>
      <c r="C25" s="128"/>
      <c r="D25" s="143"/>
      <c r="E25" s="223"/>
      <c r="F25" s="130"/>
    </row>
    <row r="26" spans="1:6" s="31" customFormat="1" ht="17.25" customHeight="1">
      <c r="A26" s="126" t="s">
        <v>193</v>
      </c>
      <c r="B26" s="127" t="s">
        <v>20</v>
      </c>
      <c r="C26" s="128" t="s">
        <v>10</v>
      </c>
      <c r="D26" s="143">
        <f>11*0.15*0.15*0.8</f>
        <v>0.19799999999999998</v>
      </c>
      <c r="E26" s="223"/>
      <c r="F26" s="130">
        <f t="shared" si="0"/>
        <v>0</v>
      </c>
    </row>
    <row r="27" spans="1:6" s="31" customFormat="1" ht="17.25" customHeight="1">
      <c r="A27" s="126" t="s">
        <v>191</v>
      </c>
      <c r="B27" s="127" t="s">
        <v>359</v>
      </c>
      <c r="C27" s="128" t="s">
        <v>23</v>
      </c>
      <c r="D27" s="143">
        <f>D26*80</f>
        <v>15.839999999999998</v>
      </c>
      <c r="E27" s="223"/>
      <c r="F27" s="130">
        <f t="shared" si="0"/>
        <v>0</v>
      </c>
    </row>
    <row r="28" spans="1:6" s="31" customFormat="1" ht="17.25" customHeight="1">
      <c r="A28" s="126" t="s">
        <v>194</v>
      </c>
      <c r="B28" s="127" t="s">
        <v>21</v>
      </c>
      <c r="C28" s="128" t="s">
        <v>4</v>
      </c>
      <c r="D28" s="143">
        <f>D26*12</f>
        <v>2.3759999999999999</v>
      </c>
      <c r="E28" s="223"/>
      <c r="F28" s="130">
        <f t="shared" si="0"/>
        <v>0</v>
      </c>
    </row>
    <row r="29" spans="1:6" s="31" customFormat="1" ht="17.25" customHeight="1">
      <c r="A29" s="126" t="s">
        <v>90</v>
      </c>
      <c r="B29" s="127" t="s">
        <v>195</v>
      </c>
      <c r="C29" s="128"/>
      <c r="D29" s="143"/>
      <c r="E29" s="223"/>
      <c r="F29" s="130"/>
    </row>
    <row r="30" spans="1:6" s="31" customFormat="1" ht="17.25" customHeight="1">
      <c r="A30" s="126" t="s">
        <v>196</v>
      </c>
      <c r="B30" s="127" t="s">
        <v>20</v>
      </c>
      <c r="C30" s="128" t="s">
        <v>10</v>
      </c>
      <c r="D30" s="143">
        <f>49.75*0.2*0.15</f>
        <v>1.4925000000000002</v>
      </c>
      <c r="E30" s="223"/>
      <c r="F30" s="130">
        <f t="shared" si="0"/>
        <v>0</v>
      </c>
    </row>
    <row r="31" spans="1:6" s="31" customFormat="1" ht="17.25" customHeight="1">
      <c r="A31" s="126" t="s">
        <v>197</v>
      </c>
      <c r="B31" s="127" t="s">
        <v>359</v>
      </c>
      <c r="C31" s="128" t="s">
        <v>23</v>
      </c>
      <c r="D31" s="143">
        <f>D30*80</f>
        <v>119.4</v>
      </c>
      <c r="E31" s="223"/>
      <c r="F31" s="130">
        <f t="shared" si="0"/>
        <v>0</v>
      </c>
    </row>
    <row r="32" spans="1:6" s="31" customFormat="1" ht="17.25" customHeight="1">
      <c r="A32" s="126" t="s">
        <v>198</v>
      </c>
      <c r="B32" s="127" t="s">
        <v>21</v>
      </c>
      <c r="C32" s="128" t="s">
        <v>4</v>
      </c>
      <c r="D32" s="143">
        <f>D30*12</f>
        <v>17.910000000000004</v>
      </c>
      <c r="E32" s="223"/>
      <c r="F32" s="130">
        <f t="shared" si="0"/>
        <v>0</v>
      </c>
    </row>
    <row r="33" spans="1:6" s="31" customFormat="1" ht="17.25" customHeight="1">
      <c r="A33" s="126" t="s">
        <v>91</v>
      </c>
      <c r="B33" s="127" t="s">
        <v>199</v>
      </c>
      <c r="C33" s="128" t="s">
        <v>4</v>
      </c>
      <c r="D33" s="143">
        <f>49.75*1.1</f>
        <v>54.725000000000001</v>
      </c>
      <c r="E33" s="223"/>
      <c r="F33" s="130">
        <f t="shared" si="0"/>
        <v>0</v>
      </c>
    </row>
    <row r="34" spans="1:6" s="31" customFormat="1" ht="17.25" customHeight="1">
      <c r="A34" s="126" t="s">
        <v>92</v>
      </c>
      <c r="B34" s="127" t="s">
        <v>200</v>
      </c>
      <c r="C34" s="128"/>
      <c r="D34" s="143"/>
      <c r="E34" s="223"/>
      <c r="F34" s="130"/>
    </row>
    <row r="35" spans="1:6" s="29" customFormat="1" ht="17.25" customHeight="1">
      <c r="A35" s="152" t="s">
        <v>201</v>
      </c>
      <c r="B35" s="153" t="s">
        <v>20</v>
      </c>
      <c r="C35" s="154" t="s">
        <v>10</v>
      </c>
      <c r="D35" s="121">
        <f>12*7.45*0.1</f>
        <v>8.9400000000000013</v>
      </c>
      <c r="E35" s="223"/>
      <c r="F35" s="136">
        <f t="shared" ref="F35" si="1">D35*E35</f>
        <v>0</v>
      </c>
    </row>
    <row r="36" spans="1:6" s="29" customFormat="1" ht="17.25" customHeight="1">
      <c r="A36" s="152" t="s">
        <v>201</v>
      </c>
      <c r="B36" s="127" t="s">
        <v>377</v>
      </c>
      <c r="C36" s="154" t="s">
        <v>10</v>
      </c>
      <c r="D36" s="121">
        <f>D35*60</f>
        <v>536.40000000000009</v>
      </c>
      <c r="E36" s="223"/>
      <c r="F36" s="136">
        <f t="shared" si="0"/>
        <v>0</v>
      </c>
    </row>
    <row r="37" spans="1:6" s="29" customFormat="1" ht="17.25" customHeight="1">
      <c r="A37" s="152"/>
      <c r="B37" s="154"/>
      <c r="C37" s="139"/>
      <c r="D37" s="121"/>
      <c r="E37" s="222"/>
      <c r="F37" s="136"/>
    </row>
    <row r="38" spans="1:6" s="31" customFormat="1" ht="17.25" customHeight="1">
      <c r="A38" s="155" t="s">
        <v>24</v>
      </c>
      <c r="B38" s="156" t="s">
        <v>25</v>
      </c>
      <c r="C38" s="142"/>
      <c r="D38" s="143"/>
      <c r="E38" s="223"/>
      <c r="F38" s="130"/>
    </row>
    <row r="39" spans="1:6" s="31" customFormat="1" ht="17.25" customHeight="1">
      <c r="A39" s="126" t="s">
        <v>26</v>
      </c>
      <c r="B39" s="157" t="s">
        <v>202</v>
      </c>
      <c r="C39" s="128" t="s">
        <v>4</v>
      </c>
      <c r="D39" s="143">
        <f>(3.7*3+7.75*2)*2.57+(7.45+7.4*2)*0.1</f>
        <v>70.586999999999989</v>
      </c>
      <c r="E39" s="223"/>
      <c r="F39" s="130">
        <f>D39*E39</f>
        <v>0</v>
      </c>
    </row>
    <row r="40" spans="1:6" s="31" customFormat="1" ht="17.25" customHeight="1">
      <c r="A40" s="126" t="s">
        <v>150</v>
      </c>
      <c r="B40" s="127" t="s">
        <v>203</v>
      </c>
      <c r="C40" s="128"/>
      <c r="D40" s="143"/>
      <c r="E40" s="223"/>
      <c r="F40" s="130"/>
    </row>
    <row r="41" spans="1:6" s="31" customFormat="1" ht="17.25" customHeight="1">
      <c r="A41" s="126" t="s">
        <v>204</v>
      </c>
      <c r="B41" s="127" t="s">
        <v>20</v>
      </c>
      <c r="C41" s="128" t="s">
        <v>10</v>
      </c>
      <c r="D41" s="143">
        <f>11*0.15*0.15*3.57</f>
        <v>0.88357499999999989</v>
      </c>
      <c r="E41" s="223"/>
      <c r="F41" s="130">
        <f t="shared" ref="F41:F51" si="2">D41*E41</f>
        <v>0</v>
      </c>
    </row>
    <row r="42" spans="1:6" s="31" customFormat="1" ht="17.25" customHeight="1">
      <c r="A42" s="126" t="s">
        <v>205</v>
      </c>
      <c r="B42" s="127" t="s">
        <v>22</v>
      </c>
      <c r="C42" s="128" t="s">
        <v>23</v>
      </c>
      <c r="D42" s="143">
        <f>D41*80</f>
        <v>70.685999999999993</v>
      </c>
      <c r="E42" s="223"/>
      <c r="F42" s="130">
        <f t="shared" si="2"/>
        <v>0</v>
      </c>
    </row>
    <row r="43" spans="1:6" s="31" customFormat="1" ht="17.25" customHeight="1">
      <c r="A43" s="126" t="s">
        <v>206</v>
      </c>
      <c r="B43" s="127" t="s">
        <v>207</v>
      </c>
      <c r="C43" s="128" t="s">
        <v>4</v>
      </c>
      <c r="D43" s="143">
        <v>29.41</v>
      </c>
      <c r="E43" s="223"/>
      <c r="F43" s="130">
        <f t="shared" si="2"/>
        <v>0</v>
      </c>
    </row>
    <row r="44" spans="1:6" s="29" customFormat="1" ht="17.25" customHeight="1">
      <c r="A44" s="152" t="s">
        <v>27</v>
      </c>
      <c r="B44" s="153" t="s">
        <v>208</v>
      </c>
      <c r="C44" s="154"/>
      <c r="D44" s="121"/>
      <c r="E44" s="222"/>
      <c r="F44" s="136"/>
    </row>
    <row r="45" spans="1:6" s="29" customFormat="1" ht="17.25" customHeight="1">
      <c r="A45" s="152" t="s">
        <v>209</v>
      </c>
      <c r="B45" s="153" t="s">
        <v>20</v>
      </c>
      <c r="C45" s="154" t="s">
        <v>10</v>
      </c>
      <c r="D45" s="121">
        <f>D30</f>
        <v>1.4925000000000002</v>
      </c>
      <c r="E45" s="223"/>
      <c r="F45" s="136">
        <f t="shared" si="2"/>
        <v>0</v>
      </c>
    </row>
    <row r="46" spans="1:6" s="29" customFormat="1" ht="17.25" customHeight="1">
      <c r="A46" s="152" t="s">
        <v>210</v>
      </c>
      <c r="B46" s="153" t="s">
        <v>22</v>
      </c>
      <c r="C46" s="154" t="s">
        <v>23</v>
      </c>
      <c r="D46" s="121">
        <f>D45*80</f>
        <v>119.4</v>
      </c>
      <c r="E46" s="223"/>
      <c r="F46" s="136">
        <f t="shared" si="2"/>
        <v>0</v>
      </c>
    </row>
    <row r="47" spans="1:6" s="29" customFormat="1" ht="17.25" customHeight="1">
      <c r="A47" s="152" t="s">
        <v>211</v>
      </c>
      <c r="B47" s="127" t="s">
        <v>207</v>
      </c>
      <c r="C47" s="154" t="s">
        <v>4</v>
      </c>
      <c r="D47" s="121">
        <f>D45*12</f>
        <v>17.910000000000004</v>
      </c>
      <c r="E47" s="223"/>
      <c r="F47" s="136">
        <f t="shared" si="2"/>
        <v>0</v>
      </c>
    </row>
    <row r="48" spans="1:6" s="29" customFormat="1" ht="17.25" customHeight="1">
      <c r="A48" s="152" t="s">
        <v>29</v>
      </c>
      <c r="B48" s="153" t="s">
        <v>212</v>
      </c>
      <c r="C48" s="154"/>
      <c r="D48" s="121"/>
      <c r="E48" s="222"/>
      <c r="F48" s="136"/>
    </row>
    <row r="49" spans="1:6" s="29" customFormat="1" ht="17.25" customHeight="1">
      <c r="A49" s="152" t="s">
        <v>213</v>
      </c>
      <c r="B49" s="153" t="s">
        <v>20</v>
      </c>
      <c r="C49" s="154" t="s">
        <v>10</v>
      </c>
      <c r="D49" s="121">
        <f>1.5*0.5*0.08</f>
        <v>0.06</v>
      </c>
      <c r="E49" s="223"/>
      <c r="F49" s="136">
        <f t="shared" si="2"/>
        <v>0</v>
      </c>
    </row>
    <row r="50" spans="1:6" s="29" customFormat="1" ht="17.25" customHeight="1">
      <c r="A50" s="152" t="s">
        <v>214</v>
      </c>
      <c r="B50" s="153" t="s">
        <v>22</v>
      </c>
      <c r="C50" s="154" t="s">
        <v>23</v>
      </c>
      <c r="D50" s="121">
        <f>D49*80</f>
        <v>4.8</v>
      </c>
      <c r="E50" s="223"/>
      <c r="F50" s="136">
        <f t="shared" si="2"/>
        <v>0</v>
      </c>
    </row>
    <row r="51" spans="1:6" s="29" customFormat="1" ht="17.25" customHeight="1">
      <c r="A51" s="152" t="s">
        <v>215</v>
      </c>
      <c r="B51" s="127" t="s">
        <v>207</v>
      </c>
      <c r="C51" s="154" t="s">
        <v>4</v>
      </c>
      <c r="D51" s="121">
        <f>D49*12</f>
        <v>0.72</v>
      </c>
      <c r="E51" s="223"/>
      <c r="F51" s="136">
        <f t="shared" si="2"/>
        <v>0</v>
      </c>
    </row>
    <row r="52" spans="1:6" s="29" customFormat="1" ht="17.25" customHeight="1">
      <c r="A52" s="152"/>
      <c r="B52" s="154"/>
      <c r="C52" s="154"/>
      <c r="D52" s="121"/>
      <c r="E52" s="222"/>
      <c r="F52" s="136"/>
    </row>
    <row r="53" spans="1:6" s="29" customFormat="1" ht="17.25" customHeight="1">
      <c r="A53" s="152" t="s">
        <v>216</v>
      </c>
      <c r="B53" s="158" t="s">
        <v>33</v>
      </c>
      <c r="C53" s="154"/>
      <c r="D53" s="121"/>
      <c r="E53" s="222"/>
      <c r="F53" s="136"/>
    </row>
    <row r="54" spans="1:6" s="29" customFormat="1" ht="17.25" customHeight="1">
      <c r="A54" s="152" t="s">
        <v>217</v>
      </c>
      <c r="B54" s="153" t="s">
        <v>218</v>
      </c>
      <c r="C54" s="154" t="s">
        <v>4</v>
      </c>
      <c r="D54" s="121">
        <f>D39*2</f>
        <v>141.17399999999998</v>
      </c>
      <c r="E54" s="222"/>
      <c r="F54" s="136">
        <f>D54*E54</f>
        <v>0</v>
      </c>
    </row>
    <row r="55" spans="1:6" s="29" customFormat="1" ht="17.25" customHeight="1">
      <c r="A55" s="152" t="s">
        <v>219</v>
      </c>
      <c r="B55" s="153" t="s">
        <v>220</v>
      </c>
      <c r="C55" s="154" t="s">
        <v>4</v>
      </c>
      <c r="D55" s="121">
        <v>0</v>
      </c>
      <c r="E55" s="222"/>
      <c r="F55" s="136">
        <f t="shared" ref="F55:F63" si="3">D55*E55</f>
        <v>0</v>
      </c>
    </row>
    <row r="56" spans="1:6" s="29" customFormat="1" ht="17.25" customHeight="1">
      <c r="A56" s="152" t="s">
        <v>221</v>
      </c>
      <c r="B56" s="153" t="s">
        <v>222</v>
      </c>
      <c r="C56" s="154" t="s">
        <v>283</v>
      </c>
      <c r="D56" s="121">
        <v>0</v>
      </c>
      <c r="E56" s="222"/>
      <c r="F56" s="136">
        <f t="shared" si="3"/>
        <v>0</v>
      </c>
    </row>
    <row r="57" spans="1:6" s="29" customFormat="1" ht="17.25" customHeight="1">
      <c r="A57" s="150" t="s">
        <v>6</v>
      </c>
      <c r="B57" s="159" t="s">
        <v>34</v>
      </c>
      <c r="C57" s="154"/>
      <c r="D57" s="121"/>
      <c r="E57" s="222"/>
      <c r="F57" s="136"/>
    </row>
    <row r="58" spans="1:6" s="29" customFormat="1" ht="17.25" customHeight="1">
      <c r="A58" s="152" t="s">
        <v>30</v>
      </c>
      <c r="B58" s="159" t="s">
        <v>35</v>
      </c>
      <c r="C58" s="154"/>
      <c r="D58" s="121"/>
      <c r="E58" s="222"/>
      <c r="F58" s="136"/>
    </row>
    <row r="59" spans="1:6" s="29" customFormat="1" ht="17.25" customHeight="1">
      <c r="A59" s="152" t="s">
        <v>223</v>
      </c>
      <c r="B59" s="153" t="s">
        <v>357</v>
      </c>
      <c r="C59" s="154" t="s">
        <v>9</v>
      </c>
      <c r="D59" s="121">
        <v>3</v>
      </c>
      <c r="E59" s="222"/>
      <c r="F59" s="136">
        <f t="shared" si="3"/>
        <v>0</v>
      </c>
    </row>
    <row r="60" spans="1:6" s="29" customFormat="1" ht="17.25" customHeight="1">
      <c r="A60" s="152" t="s">
        <v>31</v>
      </c>
      <c r="B60" s="159" t="s">
        <v>36</v>
      </c>
      <c r="C60" s="154"/>
      <c r="D60" s="121"/>
      <c r="E60" s="222"/>
      <c r="F60" s="136"/>
    </row>
    <row r="61" spans="1:6" s="29" customFormat="1" ht="17.25" customHeight="1">
      <c r="A61" s="152" t="s">
        <v>32</v>
      </c>
      <c r="B61" s="153" t="s">
        <v>64</v>
      </c>
      <c r="C61" s="154" t="s">
        <v>9</v>
      </c>
      <c r="D61" s="121">
        <v>1</v>
      </c>
      <c r="E61" s="222"/>
      <c r="F61" s="136">
        <f t="shared" si="3"/>
        <v>0</v>
      </c>
    </row>
    <row r="62" spans="1:6" s="29" customFormat="1" ht="17.25" customHeight="1">
      <c r="A62" s="152" t="s">
        <v>108</v>
      </c>
      <c r="B62" s="159" t="s">
        <v>224</v>
      </c>
      <c r="C62" s="154"/>
      <c r="D62" s="121"/>
      <c r="E62" s="222"/>
      <c r="F62" s="136"/>
    </row>
    <row r="63" spans="1:6" s="29" customFormat="1" ht="17.25" customHeight="1">
      <c r="A63" s="152" t="s">
        <v>109</v>
      </c>
      <c r="B63" s="160" t="s">
        <v>225</v>
      </c>
      <c r="C63" s="154" t="s">
        <v>9</v>
      </c>
      <c r="D63" s="121">
        <v>1</v>
      </c>
      <c r="E63" s="222"/>
      <c r="F63" s="136">
        <f t="shared" si="3"/>
        <v>0</v>
      </c>
    </row>
    <row r="64" spans="1:6" s="29" customFormat="1" ht="17.25" hidden="1" customHeight="1">
      <c r="A64" s="152" t="s">
        <v>226</v>
      </c>
      <c r="B64" s="161" t="s">
        <v>227</v>
      </c>
      <c r="C64" s="154"/>
      <c r="D64" s="121"/>
      <c r="E64" s="222"/>
      <c r="F64" s="136"/>
    </row>
    <row r="65" spans="1:6" s="29" customFormat="1" ht="17.25" hidden="1" customHeight="1">
      <c r="A65" s="152" t="s">
        <v>228</v>
      </c>
      <c r="B65" s="153" t="s">
        <v>229</v>
      </c>
      <c r="C65" s="154" t="s">
        <v>10</v>
      </c>
      <c r="D65" s="135">
        <v>0</v>
      </c>
      <c r="E65" s="225"/>
      <c r="F65" s="162">
        <v>0</v>
      </c>
    </row>
    <row r="66" spans="1:6" s="29" customFormat="1" ht="17.25" hidden="1" customHeight="1">
      <c r="A66" s="152" t="s">
        <v>230</v>
      </c>
      <c r="B66" s="153" t="s">
        <v>231</v>
      </c>
      <c r="C66" s="154" t="s">
        <v>10</v>
      </c>
      <c r="D66" s="135">
        <v>0</v>
      </c>
      <c r="E66" s="225"/>
      <c r="F66" s="162">
        <v>0</v>
      </c>
    </row>
    <row r="67" spans="1:6" s="29" customFormat="1" ht="17.25" hidden="1" customHeight="1">
      <c r="A67" s="152" t="s">
        <v>232</v>
      </c>
      <c r="B67" s="153" t="s">
        <v>233</v>
      </c>
      <c r="C67" s="154" t="s">
        <v>10</v>
      </c>
      <c r="D67" s="135">
        <v>0</v>
      </c>
      <c r="E67" s="225"/>
      <c r="F67" s="162">
        <v>0</v>
      </c>
    </row>
    <row r="68" spans="1:6" s="29" customFormat="1" ht="17.25" hidden="1" customHeight="1">
      <c r="A68" s="152" t="s">
        <v>234</v>
      </c>
      <c r="B68" s="153" t="s">
        <v>235</v>
      </c>
      <c r="C68" s="154" t="s">
        <v>4</v>
      </c>
      <c r="D68" s="135">
        <v>0</v>
      </c>
      <c r="E68" s="225"/>
      <c r="F68" s="162">
        <v>0</v>
      </c>
    </row>
    <row r="69" spans="1:6" s="29" customFormat="1" ht="17.25" hidden="1" customHeight="1">
      <c r="A69" s="152" t="s">
        <v>236</v>
      </c>
      <c r="B69" s="153" t="s">
        <v>237</v>
      </c>
      <c r="C69" s="154"/>
      <c r="D69" s="121"/>
      <c r="E69" s="222"/>
      <c r="F69" s="136"/>
    </row>
    <row r="70" spans="1:6" s="29" customFormat="1" ht="17.25" hidden="1" customHeight="1">
      <c r="A70" s="152" t="s">
        <v>238</v>
      </c>
      <c r="B70" s="153" t="s">
        <v>20</v>
      </c>
      <c r="C70" s="154" t="s">
        <v>10</v>
      </c>
      <c r="D70" s="135">
        <v>0</v>
      </c>
      <c r="E70" s="225"/>
      <c r="F70" s="162">
        <v>0</v>
      </c>
    </row>
    <row r="71" spans="1:6" s="29" customFormat="1" ht="17.25" hidden="1" customHeight="1">
      <c r="A71" s="152" t="s">
        <v>239</v>
      </c>
      <c r="B71" s="153" t="s">
        <v>240</v>
      </c>
      <c r="C71" s="154" t="s">
        <v>23</v>
      </c>
      <c r="D71" s="135">
        <v>0</v>
      </c>
      <c r="E71" s="225"/>
      <c r="F71" s="162">
        <v>0</v>
      </c>
    </row>
    <row r="72" spans="1:6" s="29" customFormat="1" ht="17.25" hidden="1" customHeight="1">
      <c r="A72" s="152" t="s">
        <v>241</v>
      </c>
      <c r="B72" s="153" t="s">
        <v>100</v>
      </c>
      <c r="C72" s="154" t="s">
        <v>4</v>
      </c>
      <c r="D72" s="135">
        <v>0</v>
      </c>
      <c r="E72" s="225"/>
      <c r="F72" s="162">
        <v>0</v>
      </c>
    </row>
    <row r="73" spans="1:6" s="29" customFormat="1" ht="17.25" hidden="1" customHeight="1">
      <c r="A73" s="152" t="s">
        <v>242</v>
      </c>
      <c r="B73" s="153" t="s">
        <v>243</v>
      </c>
      <c r="C73" s="154" t="s">
        <v>4</v>
      </c>
      <c r="D73" s="135">
        <v>0</v>
      </c>
      <c r="E73" s="225"/>
      <c r="F73" s="162">
        <v>0</v>
      </c>
    </row>
    <row r="74" spans="1:6" s="29" customFormat="1" ht="17.25" customHeight="1">
      <c r="A74" s="152"/>
      <c r="B74" s="145" t="s">
        <v>37</v>
      </c>
      <c r="C74" s="146"/>
      <c r="D74" s="147"/>
      <c r="E74" s="224"/>
      <c r="F74" s="148">
        <f>SUM(F21:F73)</f>
        <v>0</v>
      </c>
    </row>
    <row r="75" spans="1:6" s="29" customFormat="1" ht="15.5">
      <c r="A75" s="152"/>
      <c r="B75" s="163"/>
      <c r="C75" s="120"/>
      <c r="D75" s="135"/>
      <c r="E75" s="221"/>
      <c r="F75" s="136"/>
    </row>
    <row r="76" spans="1:6" s="29" customFormat="1" ht="15.5">
      <c r="A76" s="152"/>
      <c r="B76" s="131" t="s">
        <v>38</v>
      </c>
      <c r="C76" s="132"/>
      <c r="D76" s="133"/>
      <c r="E76" s="220"/>
      <c r="F76" s="134">
        <f>F74+F18</f>
        <v>0</v>
      </c>
    </row>
    <row r="77" spans="1:6" s="29" customFormat="1" ht="15.5">
      <c r="A77" s="152"/>
      <c r="B77" s="164"/>
      <c r="C77" s="120"/>
      <c r="D77" s="135"/>
      <c r="E77" s="221"/>
      <c r="F77" s="136"/>
    </row>
    <row r="78" spans="1:6" s="29" customFormat="1" ht="15.5">
      <c r="A78" s="122" t="s">
        <v>18</v>
      </c>
      <c r="B78" s="123" t="s">
        <v>39</v>
      </c>
      <c r="C78" s="124"/>
      <c r="D78" s="125"/>
      <c r="E78" s="218"/>
      <c r="F78" s="124"/>
    </row>
    <row r="79" spans="1:6" s="29" customFormat="1" ht="15.5">
      <c r="A79" s="152" t="s">
        <v>116</v>
      </c>
      <c r="B79" s="153" t="s">
        <v>117</v>
      </c>
      <c r="C79" s="154"/>
      <c r="D79" s="165"/>
      <c r="E79" s="226"/>
      <c r="F79" s="136"/>
    </row>
    <row r="80" spans="1:6" s="29" customFormat="1" ht="15.5">
      <c r="A80" s="152" t="s">
        <v>118</v>
      </c>
      <c r="B80" s="153" t="s">
        <v>244</v>
      </c>
      <c r="C80" s="154" t="s">
        <v>10</v>
      </c>
      <c r="D80" s="121">
        <f>(13*8)/100</f>
        <v>1.04</v>
      </c>
      <c r="E80" s="226"/>
      <c r="F80" s="136">
        <f t="shared" ref="F80" si="4">D80*E80</f>
        <v>0</v>
      </c>
    </row>
    <row r="81" spans="1:6" s="29" customFormat="1" ht="15.5">
      <c r="A81" s="118"/>
      <c r="B81" s="131" t="s">
        <v>40</v>
      </c>
      <c r="C81" s="132"/>
      <c r="D81" s="133"/>
      <c r="E81" s="220"/>
      <c r="F81" s="134">
        <f>SUM(F80:F80)</f>
        <v>0</v>
      </c>
    </row>
    <row r="82" spans="1:6" s="29" customFormat="1" ht="15.5">
      <c r="A82" s="118"/>
      <c r="B82" s="164"/>
      <c r="C82" s="120"/>
      <c r="D82" s="135"/>
      <c r="E82" s="221"/>
      <c r="F82" s="136"/>
    </row>
    <row r="83" spans="1:6" s="29" customFormat="1" ht="15.5">
      <c r="A83" s="122" t="s">
        <v>41</v>
      </c>
      <c r="B83" s="123" t="s">
        <v>42</v>
      </c>
      <c r="C83" s="124"/>
      <c r="D83" s="125"/>
      <c r="E83" s="218"/>
      <c r="F83" s="124"/>
    </row>
    <row r="84" spans="1:6" s="29" customFormat="1" ht="15.5">
      <c r="A84" s="152" t="s">
        <v>123</v>
      </c>
      <c r="B84" s="153" t="s">
        <v>43</v>
      </c>
      <c r="C84" s="120"/>
      <c r="D84" s="135"/>
      <c r="E84" s="221"/>
      <c r="F84" s="136"/>
    </row>
    <row r="85" spans="1:6" s="29" customFormat="1" ht="15.5">
      <c r="A85" s="152" t="s">
        <v>124</v>
      </c>
      <c r="B85" s="158" t="s">
        <v>44</v>
      </c>
      <c r="C85" s="120"/>
      <c r="D85" s="135"/>
      <c r="E85" s="221"/>
      <c r="F85" s="136"/>
    </row>
    <row r="86" spans="1:6" s="29" customFormat="1" ht="15.5">
      <c r="A86" s="152" t="s">
        <v>145</v>
      </c>
      <c r="B86" s="153" t="s">
        <v>713</v>
      </c>
      <c r="C86" s="154" t="s">
        <v>4</v>
      </c>
      <c r="D86" s="121">
        <f>2*4.5*13</f>
        <v>117</v>
      </c>
      <c r="E86" s="226"/>
      <c r="F86" s="136">
        <f>D86*E86</f>
        <v>0</v>
      </c>
    </row>
    <row r="87" spans="1:6" s="29" customFormat="1" ht="15.5">
      <c r="A87" s="152" t="s">
        <v>125</v>
      </c>
      <c r="B87" s="158" t="s">
        <v>126</v>
      </c>
      <c r="C87" s="154"/>
      <c r="D87" s="121"/>
      <c r="E87" s="226"/>
      <c r="F87" s="136"/>
    </row>
    <row r="88" spans="1:6" s="29" customFormat="1" ht="15.5">
      <c r="A88" s="152" t="s">
        <v>127</v>
      </c>
      <c r="B88" s="153" t="s">
        <v>245</v>
      </c>
      <c r="C88" s="154" t="s">
        <v>7</v>
      </c>
      <c r="D88" s="121">
        <v>13</v>
      </c>
      <c r="E88" s="226"/>
      <c r="F88" s="136">
        <f>D88*E88</f>
        <v>0</v>
      </c>
    </row>
    <row r="89" spans="1:6" s="29" customFormat="1" ht="15.5">
      <c r="A89" s="152" t="s">
        <v>246</v>
      </c>
      <c r="B89" s="158" t="s">
        <v>45</v>
      </c>
      <c r="C89" s="166"/>
      <c r="D89" s="167"/>
      <c r="E89" s="226"/>
      <c r="F89" s="136"/>
    </row>
    <row r="90" spans="1:6" s="29" customFormat="1" ht="15.5">
      <c r="A90" s="152" t="s">
        <v>247</v>
      </c>
      <c r="B90" s="153" t="s">
        <v>248</v>
      </c>
      <c r="C90" s="154" t="s">
        <v>4</v>
      </c>
      <c r="D90" s="121">
        <f>(4*4.5+13*2)*0.3</f>
        <v>13.2</v>
      </c>
      <c r="E90" s="226"/>
      <c r="F90" s="136">
        <f>D90*E90</f>
        <v>0</v>
      </c>
    </row>
    <row r="91" spans="1:6" s="29" customFormat="1" ht="17.25" customHeight="1">
      <c r="A91" s="118"/>
      <c r="B91" s="131" t="s">
        <v>46</v>
      </c>
      <c r="C91" s="132"/>
      <c r="D91" s="133"/>
      <c r="E91" s="220"/>
      <c r="F91" s="134">
        <f>SUM(F86:F90)</f>
        <v>0</v>
      </c>
    </row>
    <row r="92" spans="1:6" s="31" customFormat="1" ht="17.25" customHeight="1">
      <c r="A92" s="168"/>
      <c r="B92" s="169"/>
      <c r="C92" s="170"/>
      <c r="D92" s="171"/>
      <c r="E92" s="227"/>
      <c r="F92" s="130"/>
    </row>
    <row r="93" spans="1:6" s="29" customFormat="1" ht="15.5">
      <c r="A93" s="122" t="s">
        <v>47</v>
      </c>
      <c r="B93" s="123" t="s">
        <v>48</v>
      </c>
      <c r="C93" s="124"/>
      <c r="D93" s="125"/>
      <c r="E93" s="218"/>
      <c r="F93" s="124"/>
    </row>
    <row r="94" spans="1:6" s="29" customFormat="1" ht="15.5">
      <c r="A94" s="172" t="s">
        <v>49</v>
      </c>
      <c r="B94" s="158" t="s">
        <v>51</v>
      </c>
      <c r="C94" s="154"/>
      <c r="D94" s="165"/>
      <c r="E94" s="226"/>
      <c r="F94" s="136"/>
    </row>
    <row r="95" spans="1:6" s="29" customFormat="1" ht="15.5">
      <c r="A95" s="172" t="s">
        <v>50</v>
      </c>
      <c r="B95" s="153" t="s">
        <v>249</v>
      </c>
      <c r="C95" s="154" t="s">
        <v>182</v>
      </c>
      <c r="D95" s="121">
        <v>1</v>
      </c>
      <c r="E95" s="226"/>
      <c r="F95" s="136">
        <f>D95*E95</f>
        <v>0</v>
      </c>
    </row>
    <row r="96" spans="1:6" s="29" customFormat="1" ht="15.5">
      <c r="A96" s="118"/>
      <c r="B96" s="131" t="s">
        <v>52</v>
      </c>
      <c r="C96" s="132"/>
      <c r="D96" s="133"/>
      <c r="E96" s="220"/>
      <c r="F96" s="134">
        <f>SUM(F95)</f>
        <v>0</v>
      </c>
    </row>
    <row r="97" spans="1:6" s="29" customFormat="1" ht="15.5">
      <c r="A97" s="152"/>
      <c r="B97" s="139"/>
      <c r="C97" s="139"/>
      <c r="D97" s="173"/>
      <c r="E97" s="228"/>
      <c r="F97" s="136"/>
    </row>
    <row r="98" spans="1:6" s="29" customFormat="1" ht="15.5">
      <c r="A98" s="122" t="s">
        <v>53</v>
      </c>
      <c r="B98" s="123" t="s">
        <v>250</v>
      </c>
      <c r="C98" s="124"/>
      <c r="D98" s="125"/>
      <c r="E98" s="218"/>
      <c r="F98" s="124"/>
    </row>
    <row r="99" spans="1:6" s="29" customFormat="1" ht="20" customHeight="1">
      <c r="A99" s="172" t="s">
        <v>133</v>
      </c>
      <c r="B99" s="174" t="s">
        <v>251</v>
      </c>
      <c r="C99" s="154" t="s">
        <v>4</v>
      </c>
      <c r="D99" s="121">
        <f>8.45*3.9</f>
        <v>32.954999999999998</v>
      </c>
      <c r="E99" s="226"/>
      <c r="F99" s="175">
        <f>D99*E99</f>
        <v>0</v>
      </c>
    </row>
    <row r="100" spans="1:6" s="29" customFormat="1" ht="15.5">
      <c r="A100" s="172" t="s">
        <v>132</v>
      </c>
      <c r="B100" s="176" t="s">
        <v>252</v>
      </c>
      <c r="C100" s="154" t="s">
        <v>7</v>
      </c>
      <c r="D100" s="121">
        <f>49.75*4</f>
        <v>199</v>
      </c>
      <c r="E100" s="226"/>
      <c r="F100" s="136">
        <f>D100*E100</f>
        <v>0</v>
      </c>
    </row>
    <row r="101" spans="1:6" s="29" customFormat="1" ht="15.5">
      <c r="A101" s="172"/>
      <c r="B101" s="176"/>
      <c r="C101" s="120"/>
      <c r="D101" s="135"/>
      <c r="E101" s="221"/>
      <c r="F101" s="136"/>
    </row>
    <row r="102" spans="1:6" s="29" customFormat="1" ht="15.5">
      <c r="A102" s="152"/>
      <c r="B102" s="131" t="s">
        <v>253</v>
      </c>
      <c r="C102" s="177"/>
      <c r="D102" s="133"/>
      <c r="E102" s="220"/>
      <c r="F102" s="134">
        <f>SUM(F99:F101)</f>
        <v>0</v>
      </c>
    </row>
    <row r="103" spans="1:6" s="29" customFormat="1" ht="15.5">
      <c r="A103" s="152"/>
      <c r="B103" s="178"/>
      <c r="C103" s="120"/>
      <c r="D103" s="135"/>
      <c r="E103" s="221"/>
      <c r="F103" s="136"/>
    </row>
    <row r="104" spans="1:6" s="29" customFormat="1" ht="15.5">
      <c r="A104" s="122" t="s">
        <v>72</v>
      </c>
      <c r="B104" s="123" t="s">
        <v>55</v>
      </c>
      <c r="C104" s="124"/>
      <c r="D104" s="125"/>
      <c r="E104" s="218"/>
      <c r="F104" s="124"/>
    </row>
    <row r="105" spans="1:6" s="29" customFormat="1" ht="15.5">
      <c r="A105" s="152" t="s">
        <v>132</v>
      </c>
      <c r="B105" s="158" t="s">
        <v>254</v>
      </c>
      <c r="C105" s="120"/>
      <c r="D105" s="135"/>
      <c r="E105" s="221"/>
      <c r="F105" s="136"/>
    </row>
    <row r="106" spans="1:6" s="29" customFormat="1" ht="15.5">
      <c r="A106" s="152" t="s">
        <v>163</v>
      </c>
      <c r="B106" s="153" t="s">
        <v>255</v>
      </c>
      <c r="C106" s="120"/>
      <c r="D106" s="135"/>
      <c r="E106" s="221"/>
      <c r="F106" s="136"/>
    </row>
    <row r="107" spans="1:6" s="29" customFormat="1" ht="15.5">
      <c r="A107" s="152" t="s">
        <v>256</v>
      </c>
      <c r="B107" s="153" t="s">
        <v>257</v>
      </c>
      <c r="C107" s="154" t="s">
        <v>9</v>
      </c>
      <c r="D107" s="121">
        <v>2</v>
      </c>
      <c r="E107" s="226"/>
      <c r="F107" s="136">
        <f>D107*E107</f>
        <v>0</v>
      </c>
    </row>
    <row r="108" spans="1:6" s="29" customFormat="1" ht="15.5">
      <c r="A108" s="152" t="s">
        <v>258</v>
      </c>
      <c r="B108" s="153" t="s">
        <v>259</v>
      </c>
      <c r="C108" s="154" t="s">
        <v>9</v>
      </c>
      <c r="D108" s="121">
        <v>2</v>
      </c>
      <c r="E108" s="226"/>
      <c r="F108" s="136">
        <f t="shared" ref="F108:F110" si="5">D108*E108</f>
        <v>0</v>
      </c>
    </row>
    <row r="109" spans="1:6" s="29" customFormat="1" ht="15.5">
      <c r="A109" s="152" t="s">
        <v>133</v>
      </c>
      <c r="B109" s="158" t="s">
        <v>260</v>
      </c>
      <c r="C109" s="154"/>
      <c r="D109" s="121"/>
      <c r="E109" s="226"/>
      <c r="F109" s="136"/>
    </row>
    <row r="110" spans="1:6" s="29" customFormat="1" ht="15.5">
      <c r="A110" s="152" t="s">
        <v>164</v>
      </c>
      <c r="B110" s="153" t="s">
        <v>261</v>
      </c>
      <c r="C110" s="154" t="s">
        <v>9</v>
      </c>
      <c r="D110" s="121">
        <v>2</v>
      </c>
      <c r="E110" s="226"/>
      <c r="F110" s="136">
        <f t="shared" si="5"/>
        <v>0</v>
      </c>
    </row>
    <row r="111" spans="1:6" s="29" customFormat="1" ht="15.5">
      <c r="A111" s="179"/>
      <c r="B111" s="131" t="s">
        <v>56</v>
      </c>
      <c r="C111" s="180"/>
      <c r="D111" s="133"/>
      <c r="E111" s="220"/>
      <c r="F111" s="134">
        <f>SUM(F107:F110)</f>
        <v>0</v>
      </c>
    </row>
    <row r="112" spans="1:6" s="31" customFormat="1" ht="15.5">
      <c r="A112" s="181"/>
      <c r="B112" s="169"/>
      <c r="C112" s="182"/>
      <c r="D112" s="171"/>
      <c r="E112" s="227"/>
      <c r="F112" s="130"/>
    </row>
    <row r="113" spans="1:8" s="2" customFormat="1" ht="15.5">
      <c r="A113" s="122" t="s">
        <v>54</v>
      </c>
      <c r="B113" s="123" t="s">
        <v>65</v>
      </c>
      <c r="C113" s="124"/>
      <c r="D113" s="125"/>
      <c r="E113" s="218"/>
      <c r="F113" s="124"/>
    </row>
    <row r="114" spans="1:8" s="2" customFormat="1" ht="15.5">
      <c r="A114" s="152" t="s">
        <v>262</v>
      </c>
      <c r="B114" s="183" t="s">
        <v>66</v>
      </c>
      <c r="C114" s="154"/>
      <c r="D114" s="121"/>
      <c r="E114" s="221"/>
      <c r="F114" s="136"/>
    </row>
    <row r="115" spans="1:8" s="2" customFormat="1" ht="18" customHeight="1">
      <c r="A115" s="152" t="s">
        <v>263</v>
      </c>
      <c r="B115" s="184" t="s">
        <v>264</v>
      </c>
      <c r="C115" s="154" t="s">
        <v>4</v>
      </c>
      <c r="D115" s="121">
        <v>5</v>
      </c>
      <c r="E115" s="221"/>
      <c r="F115" s="136">
        <f t="shared" ref="F115:F116" si="6">D115*E115</f>
        <v>0</v>
      </c>
    </row>
    <row r="116" spans="1:8" s="2" customFormat="1" ht="18" customHeight="1">
      <c r="A116" s="152" t="s">
        <v>265</v>
      </c>
      <c r="B116" s="184" t="s">
        <v>266</v>
      </c>
      <c r="C116" s="154" t="s">
        <v>4</v>
      </c>
      <c r="D116" s="121">
        <v>0</v>
      </c>
      <c r="E116" s="221"/>
      <c r="F116" s="136">
        <f t="shared" si="6"/>
        <v>0</v>
      </c>
    </row>
    <row r="117" spans="1:8" s="2" customFormat="1" ht="15.5">
      <c r="A117" s="179"/>
      <c r="B117" s="131" t="s">
        <v>67</v>
      </c>
      <c r="C117" s="180"/>
      <c r="D117" s="133"/>
      <c r="E117" s="220"/>
      <c r="F117" s="134">
        <f>SUM(F114:F116)</f>
        <v>0</v>
      </c>
    </row>
    <row r="118" spans="1:8" s="29" customFormat="1" ht="15.5">
      <c r="A118" s="179"/>
      <c r="B118" s="230"/>
      <c r="C118" s="185"/>
      <c r="D118" s="135"/>
      <c r="E118" s="221"/>
      <c r="F118" s="136"/>
    </row>
    <row r="119" spans="1:8" s="29" customFormat="1" ht="15.5">
      <c r="A119" s="122" t="s">
        <v>73</v>
      </c>
      <c r="B119" s="123" t="s">
        <v>11</v>
      </c>
      <c r="C119" s="124"/>
      <c r="D119" s="125"/>
      <c r="E119" s="218"/>
      <c r="F119" s="124"/>
    </row>
    <row r="120" spans="1:8" s="29" customFormat="1" ht="15.5">
      <c r="A120" s="152" t="s">
        <v>144</v>
      </c>
      <c r="B120" s="186" t="s">
        <v>62</v>
      </c>
      <c r="C120" s="154"/>
      <c r="D120" s="165"/>
      <c r="E120" s="226"/>
      <c r="F120" s="136"/>
    </row>
    <row r="121" spans="1:8" s="29" customFormat="1" ht="15.5">
      <c r="A121" s="152" t="s">
        <v>165</v>
      </c>
      <c r="B121" s="153" t="s">
        <v>267</v>
      </c>
      <c r="C121" s="154" t="s">
        <v>4</v>
      </c>
      <c r="D121" s="121">
        <f>(7.45*3.57+3.55*3.57*2)+(7.4*2*1+7.45*1)</f>
        <v>74.1935</v>
      </c>
      <c r="E121" s="226"/>
      <c r="F121" s="136">
        <f t="shared" ref="F121:F127" si="7">D121*E121</f>
        <v>0</v>
      </c>
    </row>
    <row r="122" spans="1:8" s="29" customFormat="1" ht="15.5">
      <c r="A122" s="152" t="s">
        <v>268</v>
      </c>
      <c r="B122" s="153" t="s">
        <v>269</v>
      </c>
      <c r="C122" s="154" t="s">
        <v>4</v>
      </c>
      <c r="D122" s="121">
        <f>49.75*1</f>
        <v>49.75</v>
      </c>
      <c r="E122" s="226"/>
      <c r="F122" s="136">
        <f t="shared" si="7"/>
        <v>0</v>
      </c>
    </row>
    <row r="123" spans="1:8" s="29" customFormat="1" ht="15.5">
      <c r="A123" s="152" t="s">
        <v>270</v>
      </c>
      <c r="B123" s="158" t="s">
        <v>63</v>
      </c>
      <c r="C123" s="154"/>
      <c r="D123" s="121"/>
      <c r="E123" s="226"/>
      <c r="F123" s="136"/>
      <c r="H123" s="355"/>
    </row>
    <row r="124" spans="1:8" s="29" customFormat="1" ht="15.5">
      <c r="A124" s="152" t="s">
        <v>271</v>
      </c>
      <c r="B124" s="153" t="s">
        <v>272</v>
      </c>
      <c r="C124" s="154" t="s">
        <v>4</v>
      </c>
      <c r="D124" s="121">
        <f>D121+3.4*3*2</f>
        <v>94.593500000000006</v>
      </c>
      <c r="E124" s="226"/>
      <c r="F124" s="136">
        <f t="shared" si="7"/>
        <v>0</v>
      </c>
    </row>
    <row r="125" spans="1:8" s="29" customFormat="1" ht="15.5">
      <c r="A125" s="152" t="s">
        <v>273</v>
      </c>
      <c r="B125" s="153" t="s">
        <v>274</v>
      </c>
      <c r="C125" s="154" t="s">
        <v>4</v>
      </c>
      <c r="D125" s="121">
        <f>D99+1.5</f>
        <v>34.454999999999998</v>
      </c>
      <c r="E125" s="226"/>
      <c r="F125" s="136">
        <f t="shared" si="7"/>
        <v>0</v>
      </c>
    </row>
    <row r="126" spans="1:8" s="29" customFormat="1" ht="15.5">
      <c r="A126" s="172" t="s">
        <v>275</v>
      </c>
      <c r="B126" s="158" t="s">
        <v>57</v>
      </c>
      <c r="C126" s="154"/>
      <c r="D126" s="121"/>
      <c r="E126" s="226"/>
      <c r="F126" s="136"/>
    </row>
    <row r="127" spans="1:8" s="29" customFormat="1" ht="15.5">
      <c r="A127" s="172" t="s">
        <v>276</v>
      </c>
      <c r="B127" s="153" t="s">
        <v>277</v>
      </c>
      <c r="C127" s="154" t="s">
        <v>4</v>
      </c>
      <c r="D127" s="121">
        <f>0.9*2.1*2*2+0.9*4</f>
        <v>11.16</v>
      </c>
      <c r="E127" s="226"/>
      <c r="F127" s="136">
        <f t="shared" si="7"/>
        <v>0</v>
      </c>
    </row>
    <row r="128" spans="1:8" s="29" customFormat="1" ht="15.5">
      <c r="A128" s="179"/>
      <c r="B128" s="131" t="s">
        <v>58</v>
      </c>
      <c r="C128" s="180"/>
      <c r="D128" s="133"/>
      <c r="E128" s="220"/>
      <c r="F128" s="134">
        <f>SUM(F121:F127)</f>
        <v>0</v>
      </c>
    </row>
    <row r="129" spans="1:6" s="29" customFormat="1" ht="15.5">
      <c r="A129" s="570"/>
      <c r="B129" s="571"/>
      <c r="C129" s="571"/>
      <c r="D129" s="571"/>
      <c r="E129" s="571"/>
      <c r="F129" s="571"/>
    </row>
    <row r="130" spans="1:6" s="29" customFormat="1" ht="20.25" customHeight="1">
      <c r="A130" s="572" t="s">
        <v>278</v>
      </c>
      <c r="B130" s="573"/>
      <c r="C130" s="573"/>
      <c r="D130" s="254"/>
      <c r="E130" s="195"/>
      <c r="F130" s="187">
        <f>F128+F111+F102+F96+F91+F81+F76+F117+F11</f>
        <v>0</v>
      </c>
    </row>
    <row r="131" spans="1:6" s="29" customFormat="1" ht="15.5">
      <c r="A131" s="570"/>
      <c r="B131" s="571"/>
      <c r="C131" s="571"/>
      <c r="D131" s="571"/>
      <c r="E131" s="571"/>
      <c r="F131" s="571"/>
    </row>
    <row r="132" spans="1:6" s="29" customFormat="1" ht="20.25" customHeight="1">
      <c r="A132" s="572" t="s">
        <v>354</v>
      </c>
      <c r="B132" s="573"/>
      <c r="C132" s="573"/>
      <c r="D132" s="196">
        <v>0.1</v>
      </c>
      <c r="E132" s="195"/>
      <c r="F132" s="187">
        <f>F130*D132</f>
        <v>0</v>
      </c>
    </row>
    <row r="133" spans="1:6" s="29" customFormat="1" ht="15.5">
      <c r="A133" s="562"/>
      <c r="B133" s="563"/>
      <c r="C133" s="564"/>
      <c r="D133" s="564"/>
      <c r="E133" s="564"/>
      <c r="F133" s="564"/>
    </row>
    <row r="134" spans="1:6" s="29" customFormat="1" ht="24.75" customHeight="1">
      <c r="A134" s="562" t="s">
        <v>279</v>
      </c>
      <c r="B134" s="563"/>
      <c r="C134" s="564"/>
      <c r="D134" s="564"/>
      <c r="E134" s="565">
        <f>F130+F132</f>
        <v>0</v>
      </c>
      <c r="F134" s="565"/>
    </row>
    <row r="135" spans="1:6" s="29" customFormat="1" ht="15.5">
      <c r="A135" s="102"/>
      <c r="B135" s="102"/>
      <c r="C135" s="103"/>
      <c r="D135" s="104"/>
      <c r="E135" s="103"/>
      <c r="F135" s="103"/>
    </row>
  </sheetData>
  <sheetProtection selectLockedCells="1"/>
  <mergeCells count="9">
    <mergeCell ref="A133:F133"/>
    <mergeCell ref="A134:D134"/>
    <mergeCell ref="E134:F134"/>
    <mergeCell ref="A1:F1"/>
    <mergeCell ref="A3:F3"/>
    <mergeCell ref="A129:F129"/>
    <mergeCell ref="A130:C130"/>
    <mergeCell ref="A131:F131"/>
    <mergeCell ref="A132:C132"/>
  </mergeCells>
  <pageMargins left="0.7" right="0.7" top="0.75" bottom="0.75" header="0.3" footer="0.3"/>
  <pageSetup paperSize="9" scale="78" orientation="portrait" r:id="rId1"/>
  <rowBreaks count="1" manualBreakCount="1">
    <brk id="119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101F-AF42-43B0-A967-FC844C55796A}">
  <dimension ref="A1:F116"/>
  <sheetViews>
    <sheetView view="pageBreakPreview" topLeftCell="A51" zoomScale="90" zoomScaleNormal="100" zoomScaleSheetLayoutView="90" workbookViewId="0">
      <selection activeCell="B75" sqref="B75"/>
    </sheetView>
  </sheetViews>
  <sheetFormatPr baseColWidth="10" defaultRowHeight="14.5"/>
  <cols>
    <col min="2" max="2" width="61.1796875" bestFit="1" customWidth="1"/>
    <col min="3" max="3" width="8.1796875" customWidth="1"/>
    <col min="6" max="6" width="14.1796875" customWidth="1"/>
  </cols>
  <sheetData>
    <row r="1" spans="1:6" ht="68.5" customHeight="1">
      <c r="A1" s="574"/>
      <c r="B1" s="574"/>
      <c r="C1" s="574"/>
      <c r="D1" s="574"/>
      <c r="E1" s="574"/>
      <c r="F1" s="574"/>
    </row>
    <row r="2" spans="1:6" s="2" customFormat="1" ht="26" customHeight="1">
      <c r="A2" s="575" t="s">
        <v>378</v>
      </c>
      <c r="B2" s="576"/>
      <c r="C2" s="576"/>
      <c r="D2" s="576"/>
      <c r="E2" s="576"/>
      <c r="F2" s="577"/>
    </row>
    <row r="3" spans="1:6" s="341" customFormat="1" ht="13.5" customHeight="1">
      <c r="A3" s="491"/>
      <c r="B3" s="492"/>
      <c r="C3" s="491"/>
      <c r="D3" s="491"/>
      <c r="E3" s="491"/>
      <c r="F3" s="493"/>
    </row>
    <row r="4" spans="1:6" s="284" customFormat="1" ht="42">
      <c r="A4" s="281" t="s">
        <v>12</v>
      </c>
      <c r="B4" s="282" t="s">
        <v>8</v>
      </c>
      <c r="C4" s="283" t="s">
        <v>0</v>
      </c>
      <c r="D4" s="283" t="s">
        <v>2</v>
      </c>
      <c r="E4" s="350" t="s">
        <v>3</v>
      </c>
      <c r="F4" s="283" t="s">
        <v>1</v>
      </c>
    </row>
    <row r="5" spans="1:6" s="2" customFormat="1" ht="15.5">
      <c r="A5" s="285"/>
      <c r="B5" s="286"/>
      <c r="C5" s="287"/>
      <c r="D5" s="288"/>
      <c r="E5" s="289"/>
      <c r="F5" s="288"/>
    </row>
    <row r="6" spans="1:6" s="2" customFormat="1" ht="18" customHeight="1">
      <c r="A6" s="290" t="s">
        <v>13</v>
      </c>
      <c r="B6" s="291" t="s">
        <v>287</v>
      </c>
      <c r="C6" s="292"/>
      <c r="D6" s="293"/>
      <c r="E6" s="294"/>
      <c r="F6" s="293"/>
    </row>
    <row r="7" spans="1:6" s="2" customFormat="1" ht="18" customHeight="1">
      <c r="A7" s="295"/>
      <c r="B7" s="296"/>
      <c r="C7" s="297"/>
      <c r="D7" s="297"/>
      <c r="E7" s="289"/>
      <c r="F7" s="298"/>
    </row>
    <row r="8" spans="1:6" s="2" customFormat="1" ht="18" customHeight="1">
      <c r="A8" s="299" t="s">
        <v>5</v>
      </c>
      <c r="B8" s="300" t="s">
        <v>379</v>
      </c>
      <c r="C8" s="297"/>
      <c r="D8" s="297"/>
      <c r="E8" s="289"/>
      <c r="F8" s="298"/>
    </row>
    <row r="9" spans="1:6" s="2" customFormat="1" ht="18" customHeight="1">
      <c r="A9" s="295" t="s">
        <v>288</v>
      </c>
      <c r="B9" s="301" t="s">
        <v>289</v>
      </c>
      <c r="C9" s="297" t="s">
        <v>10</v>
      </c>
      <c r="D9" s="297">
        <f>2*2.56*3</f>
        <v>15.36</v>
      </c>
      <c r="E9" s="289"/>
      <c r="F9" s="298">
        <f>D9*E9</f>
        <v>0</v>
      </c>
    </row>
    <row r="10" spans="1:6" s="2" customFormat="1" ht="18" customHeight="1">
      <c r="A10" s="295" t="s">
        <v>290</v>
      </c>
      <c r="B10" s="301" t="s">
        <v>291</v>
      </c>
      <c r="C10" s="297" t="s">
        <v>10</v>
      </c>
      <c r="D10" s="297">
        <v>3.5</v>
      </c>
      <c r="E10" s="289"/>
      <c r="F10" s="298">
        <f>D10*E10</f>
        <v>0</v>
      </c>
    </row>
    <row r="11" spans="1:6" s="2" customFormat="1" ht="18" customHeight="1">
      <c r="A11" s="302"/>
      <c r="B11" s="303" t="s">
        <v>292</v>
      </c>
      <c r="C11" s="304"/>
      <c r="D11" s="304"/>
      <c r="E11" s="305"/>
      <c r="F11" s="306">
        <f>SUM(F9:F10)</f>
        <v>0</v>
      </c>
    </row>
    <row r="12" spans="1:6" s="2" customFormat="1" ht="9.65" customHeight="1">
      <c r="A12" s="295"/>
      <c r="B12" s="296"/>
      <c r="C12" s="297"/>
      <c r="D12" s="297"/>
      <c r="E12" s="289"/>
      <c r="F12" s="298"/>
    </row>
    <row r="13" spans="1:6" s="2" customFormat="1" ht="18">
      <c r="A13" s="285"/>
      <c r="B13" s="307" t="s">
        <v>293</v>
      </c>
      <c r="C13" s="308"/>
      <c r="D13" s="309"/>
      <c r="E13" s="310"/>
      <c r="F13" s="311">
        <f>F11</f>
        <v>0</v>
      </c>
    </row>
    <row r="14" spans="1:6" s="2" customFormat="1" ht="15.5">
      <c r="A14" s="285"/>
      <c r="B14" s="286"/>
      <c r="C14" s="287"/>
      <c r="D14" s="298"/>
      <c r="E14" s="312"/>
      <c r="F14" s="298"/>
    </row>
    <row r="15" spans="1:6" s="2" customFormat="1" ht="15.5">
      <c r="A15" s="290" t="s">
        <v>14</v>
      </c>
      <c r="B15" s="291" t="s">
        <v>15</v>
      </c>
      <c r="C15" s="292"/>
      <c r="D15" s="293"/>
      <c r="E15" s="294"/>
      <c r="F15" s="293"/>
    </row>
    <row r="16" spans="1:6" s="2" customFormat="1" ht="17.25" customHeight="1">
      <c r="A16" s="295"/>
      <c r="B16" s="296"/>
      <c r="C16" s="297"/>
      <c r="D16" s="297"/>
      <c r="E16" s="313"/>
      <c r="F16" s="298"/>
    </row>
    <row r="17" spans="1:6" s="2" customFormat="1" ht="17.25" customHeight="1">
      <c r="A17" s="295" t="s">
        <v>79</v>
      </c>
      <c r="B17" s="300" t="s">
        <v>294</v>
      </c>
      <c r="C17" s="297"/>
      <c r="D17" s="297"/>
      <c r="E17" s="312"/>
      <c r="F17" s="298"/>
    </row>
    <row r="18" spans="1:6" s="2" customFormat="1" ht="15.5">
      <c r="A18" s="295" t="s">
        <v>295</v>
      </c>
      <c r="B18" s="314" t="s">
        <v>19</v>
      </c>
      <c r="C18" s="297"/>
      <c r="D18" s="297"/>
      <c r="E18" s="312"/>
      <c r="F18" s="298"/>
    </row>
    <row r="19" spans="1:6" s="2" customFormat="1" ht="18" customHeight="1">
      <c r="A19" s="295" t="s">
        <v>296</v>
      </c>
      <c r="B19" s="301" t="s">
        <v>297</v>
      </c>
      <c r="C19" s="297" t="s">
        <v>4</v>
      </c>
      <c r="D19" s="297">
        <f>(1.5*3+2.09*2)*2.85</f>
        <v>24.738</v>
      </c>
      <c r="E19" s="289"/>
      <c r="F19" s="298">
        <f>D19*E19</f>
        <v>0</v>
      </c>
    </row>
    <row r="20" spans="1:6" s="2" customFormat="1" ht="18" customHeight="1">
      <c r="A20" s="295" t="s">
        <v>298</v>
      </c>
      <c r="B20" s="301" t="s">
        <v>299</v>
      </c>
      <c r="C20" s="297"/>
      <c r="D20" s="297"/>
      <c r="E20" s="289"/>
      <c r="F20" s="298"/>
    </row>
    <row r="21" spans="1:6" s="2" customFormat="1" ht="18" customHeight="1">
      <c r="A21" s="295"/>
      <c r="B21" s="301" t="s">
        <v>20</v>
      </c>
      <c r="C21" s="297" t="s">
        <v>10</v>
      </c>
      <c r="D21" s="297">
        <f>4*0.15*0.2*2.85</f>
        <v>0.34199999999999997</v>
      </c>
      <c r="E21" s="289"/>
      <c r="F21" s="298">
        <f>D21*E21</f>
        <v>0</v>
      </c>
    </row>
    <row r="22" spans="1:6" s="2" customFormat="1" ht="18" customHeight="1">
      <c r="A22" s="295"/>
      <c r="B22" s="301" t="s">
        <v>61</v>
      </c>
      <c r="C22" s="297" t="s">
        <v>23</v>
      </c>
      <c r="D22" s="297">
        <f>D21*70</f>
        <v>23.939999999999998</v>
      </c>
      <c r="E22" s="289"/>
      <c r="F22" s="298">
        <f>D22*E22</f>
        <v>0</v>
      </c>
    </row>
    <row r="23" spans="1:6" s="2" customFormat="1" ht="18" customHeight="1">
      <c r="A23" s="295"/>
      <c r="B23" s="301" t="s">
        <v>21</v>
      </c>
      <c r="C23" s="297" t="s">
        <v>4</v>
      </c>
      <c r="D23" s="297">
        <f>D21*12</f>
        <v>4.1039999999999992</v>
      </c>
      <c r="E23" s="289"/>
      <c r="F23" s="298">
        <f>D23*E23</f>
        <v>0</v>
      </c>
    </row>
    <row r="24" spans="1:6" s="2" customFormat="1" ht="18" customHeight="1">
      <c r="A24" s="295"/>
      <c r="B24" s="301" t="s">
        <v>380</v>
      </c>
      <c r="C24" s="297" t="s">
        <v>4</v>
      </c>
      <c r="D24" s="297">
        <f>(2*4+1.8*2)*2.85</f>
        <v>33.06</v>
      </c>
      <c r="E24" s="289"/>
      <c r="F24" s="298">
        <f>D24*E24</f>
        <v>0</v>
      </c>
    </row>
    <row r="25" spans="1:6" s="2" customFormat="1" ht="18" customHeight="1">
      <c r="A25" s="295" t="s">
        <v>300</v>
      </c>
      <c r="B25" s="315" t="s">
        <v>301</v>
      </c>
      <c r="C25" s="297"/>
      <c r="D25" s="297"/>
      <c r="E25" s="289"/>
      <c r="F25" s="298"/>
    </row>
    <row r="26" spans="1:6" s="2" customFormat="1" ht="18" customHeight="1">
      <c r="A26" s="295"/>
      <c r="B26" s="301" t="s">
        <v>20</v>
      </c>
      <c r="C26" s="297" t="s">
        <v>10</v>
      </c>
      <c r="D26" s="297">
        <f>1.8*2</f>
        <v>3.6</v>
      </c>
      <c r="E26" s="289"/>
      <c r="F26" s="298">
        <f>D26*E26</f>
        <v>0</v>
      </c>
    </row>
    <row r="27" spans="1:6" s="2" customFormat="1" ht="18" customHeight="1">
      <c r="A27" s="295"/>
      <c r="B27" s="301" t="s">
        <v>302</v>
      </c>
      <c r="C27" s="297" t="s">
        <v>23</v>
      </c>
      <c r="D27" s="297">
        <f>D26*12</f>
        <v>43.2</v>
      </c>
      <c r="E27" s="289"/>
      <c r="F27" s="298">
        <f>D27*E27</f>
        <v>0</v>
      </c>
    </row>
    <row r="28" spans="1:6" s="2" customFormat="1" ht="18" customHeight="1">
      <c r="A28" s="295" t="s">
        <v>303</v>
      </c>
      <c r="B28" s="315" t="s">
        <v>381</v>
      </c>
      <c r="C28" s="297"/>
      <c r="D28" s="297"/>
      <c r="E28" s="289"/>
      <c r="F28" s="298"/>
    </row>
    <row r="29" spans="1:6" s="2" customFormat="1" ht="18" customHeight="1">
      <c r="A29" s="295"/>
      <c r="B29" s="301" t="s">
        <v>304</v>
      </c>
      <c r="C29" s="297" t="s">
        <v>10</v>
      </c>
      <c r="D29" s="297">
        <f>2*1.8*0.1</f>
        <v>0.36000000000000004</v>
      </c>
      <c r="E29" s="289"/>
      <c r="F29" s="298">
        <f>D29*E29</f>
        <v>0</v>
      </c>
    </row>
    <row r="30" spans="1:6" s="2" customFormat="1" ht="18" customHeight="1">
      <c r="A30" s="295"/>
      <c r="B30" s="301" t="s">
        <v>305</v>
      </c>
      <c r="C30" s="297" t="s">
        <v>23</v>
      </c>
      <c r="D30" s="297">
        <f>D29*80</f>
        <v>28.800000000000004</v>
      </c>
      <c r="E30" s="289"/>
      <c r="F30" s="298">
        <f>D30*E30</f>
        <v>0</v>
      </c>
    </row>
    <row r="31" spans="1:6" s="2" customFormat="1" ht="18" customHeight="1">
      <c r="A31" s="295"/>
      <c r="B31" s="301" t="s">
        <v>306</v>
      </c>
      <c r="C31" s="297" t="s">
        <v>4</v>
      </c>
      <c r="D31" s="297">
        <f>D29*12</f>
        <v>4.32</v>
      </c>
      <c r="E31" s="289"/>
      <c r="F31" s="298">
        <f>D31*E31</f>
        <v>0</v>
      </c>
    </row>
    <row r="32" spans="1:6" s="2" customFormat="1" ht="18" customHeight="1">
      <c r="A32" s="295" t="s">
        <v>382</v>
      </c>
      <c r="B32" s="301" t="s">
        <v>383</v>
      </c>
      <c r="C32" s="297" t="s">
        <v>4</v>
      </c>
      <c r="D32" s="297">
        <f>2*1.8</f>
        <v>3.6</v>
      </c>
      <c r="E32" s="289"/>
      <c r="F32" s="298">
        <f>D32*E32</f>
        <v>0</v>
      </c>
    </row>
    <row r="33" spans="1:6" s="2" customFormat="1" ht="17.25" customHeight="1">
      <c r="A33" s="295" t="s">
        <v>307</v>
      </c>
      <c r="B33" s="301" t="s">
        <v>25</v>
      </c>
      <c r="C33" s="316"/>
      <c r="D33" s="316"/>
      <c r="E33" s="313"/>
      <c r="F33" s="298"/>
    </row>
    <row r="34" spans="1:6" s="2" customFormat="1" ht="17.25" customHeight="1">
      <c r="A34" s="295" t="s">
        <v>308</v>
      </c>
      <c r="B34" s="315" t="s">
        <v>384</v>
      </c>
      <c r="C34" s="297" t="s">
        <v>4</v>
      </c>
      <c r="D34" s="297">
        <f>(2*4+3*2)*2.5-(0.7*1.8*2+0.6*0.6*2)+1.8*2</f>
        <v>35.36</v>
      </c>
      <c r="E34" s="313"/>
      <c r="F34" s="298">
        <f>D34*E34</f>
        <v>0</v>
      </c>
    </row>
    <row r="35" spans="1:6" s="2" customFormat="1" ht="17.25" customHeight="1">
      <c r="A35" s="295" t="s">
        <v>309</v>
      </c>
      <c r="B35" s="315" t="s">
        <v>310</v>
      </c>
      <c r="C35" s="297"/>
      <c r="D35" s="297"/>
      <c r="E35" s="313"/>
      <c r="F35" s="298"/>
    </row>
    <row r="36" spans="1:6" s="2" customFormat="1" ht="17.25" customHeight="1">
      <c r="A36" s="295"/>
      <c r="B36" s="301" t="s">
        <v>20</v>
      </c>
      <c r="C36" s="297" t="s">
        <v>10</v>
      </c>
      <c r="D36" s="297">
        <f>0.15*0.15*4*2.5</f>
        <v>0.22499999999999998</v>
      </c>
      <c r="E36" s="289"/>
      <c r="F36" s="298">
        <f>D36*E36</f>
        <v>0</v>
      </c>
    </row>
    <row r="37" spans="1:6" s="2" customFormat="1" ht="17.25" customHeight="1">
      <c r="A37" s="295"/>
      <c r="B37" s="301" t="s">
        <v>22</v>
      </c>
      <c r="C37" s="297" t="s">
        <v>23</v>
      </c>
      <c r="D37" s="297">
        <f>D36*80</f>
        <v>18</v>
      </c>
      <c r="E37" s="289"/>
      <c r="F37" s="298">
        <f>D37*E37</f>
        <v>0</v>
      </c>
    </row>
    <row r="38" spans="1:6" s="2" customFormat="1" ht="17.25" customHeight="1">
      <c r="A38" s="295"/>
      <c r="B38" s="301" t="s">
        <v>21</v>
      </c>
      <c r="C38" s="297" t="s">
        <v>4</v>
      </c>
      <c r="D38" s="297">
        <f>D36*12</f>
        <v>2.6999999999999997</v>
      </c>
      <c r="E38" s="289"/>
      <c r="F38" s="298">
        <f>D38*E38</f>
        <v>0</v>
      </c>
    </row>
    <row r="39" spans="1:6" s="2" customFormat="1" ht="17.25" customHeight="1">
      <c r="A39" s="295" t="s">
        <v>311</v>
      </c>
      <c r="B39" s="315" t="s">
        <v>312</v>
      </c>
      <c r="C39" s="297"/>
      <c r="D39" s="297"/>
      <c r="E39" s="313"/>
      <c r="F39" s="298"/>
    </row>
    <row r="40" spans="1:6" s="2" customFormat="1" ht="17.25" customHeight="1">
      <c r="A40" s="295"/>
      <c r="B40" s="301" t="s">
        <v>20</v>
      </c>
      <c r="C40" s="297" t="s">
        <v>10</v>
      </c>
      <c r="D40" s="297">
        <f>10*0.2*0.2</f>
        <v>0.4</v>
      </c>
      <c r="E40" s="289"/>
      <c r="F40" s="298">
        <f t="shared" ref="F40:F50" si="0">D40*E40</f>
        <v>0</v>
      </c>
    </row>
    <row r="41" spans="1:6" s="2" customFormat="1" ht="17.25" customHeight="1">
      <c r="A41" s="295"/>
      <c r="B41" s="301" t="s">
        <v>22</v>
      </c>
      <c r="C41" s="297" t="s">
        <v>23</v>
      </c>
      <c r="D41" s="297">
        <f>D40*80</f>
        <v>32</v>
      </c>
      <c r="E41" s="289"/>
      <c r="F41" s="298">
        <f t="shared" si="0"/>
        <v>0</v>
      </c>
    </row>
    <row r="42" spans="1:6" s="2" customFormat="1" ht="17.25" customHeight="1">
      <c r="A42" s="295"/>
      <c r="B42" s="301" t="s">
        <v>21</v>
      </c>
      <c r="C42" s="297" t="s">
        <v>4</v>
      </c>
      <c r="D42" s="297">
        <f>D40*12</f>
        <v>4.8000000000000007</v>
      </c>
      <c r="E42" s="289"/>
      <c r="F42" s="298">
        <f t="shared" si="0"/>
        <v>0</v>
      </c>
    </row>
    <row r="43" spans="1:6" s="2" customFormat="1" ht="17.25" customHeight="1">
      <c r="A43" s="295" t="s">
        <v>313</v>
      </c>
      <c r="B43" s="301" t="s">
        <v>33</v>
      </c>
      <c r="C43" s="297"/>
      <c r="D43" s="297"/>
      <c r="E43" s="313"/>
      <c r="F43" s="298"/>
    </row>
    <row r="44" spans="1:6" s="2" customFormat="1" ht="17.25" customHeight="1">
      <c r="A44" s="295"/>
      <c r="B44" s="301" t="s">
        <v>314</v>
      </c>
      <c r="C44" s="297" t="s">
        <v>4</v>
      </c>
      <c r="D44" s="297">
        <f>(D34*2)-(0.7*2.2*2+0.6*0.6*2)</f>
        <v>66.92</v>
      </c>
      <c r="E44" s="313"/>
      <c r="F44" s="298">
        <f t="shared" si="0"/>
        <v>0</v>
      </c>
    </row>
    <row r="45" spans="1:6" s="2" customFormat="1" ht="17.25" customHeight="1">
      <c r="A45" s="295" t="s">
        <v>315</v>
      </c>
      <c r="B45" s="301" t="s">
        <v>316</v>
      </c>
      <c r="C45" s="297" t="s">
        <v>317</v>
      </c>
      <c r="D45" s="297">
        <f>0.6*0.6*2</f>
        <v>0.72</v>
      </c>
      <c r="E45" s="313"/>
      <c r="F45" s="298">
        <f t="shared" si="0"/>
        <v>0</v>
      </c>
    </row>
    <row r="46" spans="1:6" s="2" customFormat="1" ht="17.25" customHeight="1">
      <c r="A46" s="295" t="s">
        <v>318</v>
      </c>
      <c r="B46" s="317" t="s">
        <v>34</v>
      </c>
      <c r="C46" s="297"/>
      <c r="D46" s="297"/>
      <c r="E46" s="313"/>
      <c r="F46" s="298"/>
    </row>
    <row r="47" spans="1:6" s="2" customFormat="1" ht="17.25" customHeight="1">
      <c r="A47" s="295" t="s">
        <v>17</v>
      </c>
      <c r="B47" s="317" t="s">
        <v>35</v>
      </c>
      <c r="C47" s="297"/>
      <c r="D47" s="297"/>
      <c r="E47" s="313"/>
      <c r="F47" s="298"/>
    </row>
    <row r="48" spans="1:6" s="2" customFormat="1" ht="17.25" customHeight="1">
      <c r="A48" s="295" t="s">
        <v>86</v>
      </c>
      <c r="B48" s="301" t="s">
        <v>319</v>
      </c>
      <c r="C48" s="297" t="s">
        <v>9</v>
      </c>
      <c r="D48" s="297">
        <v>2</v>
      </c>
      <c r="E48" s="313"/>
      <c r="F48" s="298">
        <f t="shared" si="0"/>
        <v>0</v>
      </c>
    </row>
    <row r="49" spans="1:6" s="2" customFormat="1" ht="17.25" hidden="1" customHeight="1">
      <c r="A49" s="295" t="s">
        <v>31</v>
      </c>
      <c r="B49" s="317" t="s">
        <v>36</v>
      </c>
      <c r="C49" s="297"/>
      <c r="D49" s="297"/>
      <c r="E49" s="313"/>
      <c r="F49" s="298"/>
    </row>
    <row r="50" spans="1:6" s="2" customFormat="1" ht="17.25" hidden="1" customHeight="1">
      <c r="A50" s="295" t="s">
        <v>32</v>
      </c>
      <c r="B50" s="301" t="s">
        <v>64</v>
      </c>
      <c r="C50" s="297" t="s">
        <v>9</v>
      </c>
      <c r="D50" s="297">
        <v>0</v>
      </c>
      <c r="E50" s="313"/>
      <c r="F50" s="298">
        <f t="shared" si="0"/>
        <v>0</v>
      </c>
    </row>
    <row r="51" spans="1:6" s="2" customFormat="1" ht="17.25" customHeight="1">
      <c r="A51" s="302"/>
      <c r="B51" s="318" t="s">
        <v>37</v>
      </c>
      <c r="C51" s="319"/>
      <c r="D51" s="320"/>
      <c r="E51" s="321"/>
      <c r="F51" s="306">
        <f>SUM(F19:F50)</f>
        <v>0</v>
      </c>
    </row>
    <row r="52" spans="1:6" s="2" customFormat="1" ht="15.5">
      <c r="A52" s="295"/>
      <c r="B52" s="322"/>
      <c r="C52" s="287"/>
      <c r="D52" s="298"/>
      <c r="E52" s="312"/>
      <c r="F52" s="298"/>
    </row>
    <row r="53" spans="1:6" s="2" customFormat="1" ht="18.649999999999999" customHeight="1">
      <c r="A53" s="295"/>
      <c r="B53" s="323" t="s">
        <v>38</v>
      </c>
      <c r="C53" s="308"/>
      <c r="D53" s="309"/>
      <c r="E53" s="310"/>
      <c r="F53" s="311">
        <f>F51</f>
        <v>0</v>
      </c>
    </row>
    <row r="54" spans="1:6" s="2" customFormat="1" ht="15.5">
      <c r="A54" s="295"/>
      <c r="B54" s="324"/>
      <c r="C54" s="287"/>
      <c r="D54" s="298"/>
      <c r="E54" s="312"/>
      <c r="F54" s="298"/>
    </row>
    <row r="55" spans="1:6" s="2" customFormat="1" ht="15.5">
      <c r="A55" s="290" t="s">
        <v>18</v>
      </c>
      <c r="B55" s="291" t="s">
        <v>385</v>
      </c>
      <c r="C55" s="292"/>
      <c r="D55" s="293"/>
      <c r="E55" s="294"/>
      <c r="F55" s="293"/>
    </row>
    <row r="56" spans="1:6" s="2" customFormat="1" ht="15.5">
      <c r="A56" s="295" t="s">
        <v>116</v>
      </c>
      <c r="B56" s="301" t="s">
        <v>386</v>
      </c>
      <c r="C56" s="297" t="s">
        <v>9</v>
      </c>
      <c r="D56" s="297">
        <v>0</v>
      </c>
      <c r="E56" s="289"/>
      <c r="F56" s="298">
        <f>D56*E56</f>
        <v>0</v>
      </c>
    </row>
    <row r="57" spans="1:6" s="2" customFormat="1" ht="18">
      <c r="A57" s="285"/>
      <c r="B57" s="323" t="s">
        <v>387</v>
      </c>
      <c r="C57" s="308"/>
      <c r="D57" s="309"/>
      <c r="E57" s="310"/>
      <c r="F57" s="311">
        <f>SUM(F56:F56)</f>
        <v>0</v>
      </c>
    </row>
    <row r="58" spans="1:6" s="2" customFormat="1" ht="15.5">
      <c r="A58" s="285"/>
      <c r="B58" s="324"/>
      <c r="C58" s="287"/>
      <c r="D58" s="298"/>
      <c r="E58" s="312"/>
      <c r="F58" s="298"/>
    </row>
    <row r="59" spans="1:6" s="2" customFormat="1" ht="15.5">
      <c r="A59" s="290" t="s">
        <v>41</v>
      </c>
      <c r="B59" s="291" t="s">
        <v>39</v>
      </c>
      <c r="C59" s="292"/>
      <c r="D59" s="293"/>
      <c r="E59" s="294"/>
      <c r="F59" s="293"/>
    </row>
    <row r="60" spans="1:6" s="2" customFormat="1" ht="15.5">
      <c r="A60" s="295" t="s">
        <v>123</v>
      </c>
      <c r="B60" s="325" t="s">
        <v>320</v>
      </c>
      <c r="C60" s="297" t="s">
        <v>7</v>
      </c>
      <c r="D60" s="297">
        <v>20</v>
      </c>
      <c r="E60" s="289"/>
      <c r="F60" s="298">
        <f>D60*E60</f>
        <v>0</v>
      </c>
    </row>
    <row r="61" spans="1:6" s="2" customFormat="1" ht="18">
      <c r="A61" s="285"/>
      <c r="B61" s="323" t="s">
        <v>40</v>
      </c>
      <c r="C61" s="308"/>
      <c r="D61" s="309"/>
      <c r="E61" s="310"/>
      <c r="F61" s="311">
        <f>SUM(F60:F60)</f>
        <v>0</v>
      </c>
    </row>
    <row r="62" spans="1:6" s="2" customFormat="1" ht="15.5">
      <c r="A62" s="285"/>
      <c r="B62" s="324"/>
      <c r="C62" s="287"/>
      <c r="D62" s="298"/>
      <c r="E62" s="312"/>
      <c r="F62" s="298"/>
    </row>
    <row r="63" spans="1:6" s="2" customFormat="1" ht="15.5">
      <c r="A63" s="290" t="s">
        <v>47</v>
      </c>
      <c r="B63" s="291" t="s">
        <v>42</v>
      </c>
      <c r="C63" s="292"/>
      <c r="D63" s="293"/>
      <c r="E63" s="294"/>
      <c r="F63" s="293"/>
    </row>
    <row r="64" spans="1:6" s="2" customFormat="1" ht="15.5">
      <c r="A64" s="295" t="s">
        <v>49</v>
      </c>
      <c r="B64" s="325" t="s">
        <v>43</v>
      </c>
      <c r="C64" s="287"/>
      <c r="D64" s="298"/>
      <c r="E64" s="312"/>
      <c r="F64" s="298"/>
    </row>
    <row r="65" spans="1:6" s="2" customFormat="1" ht="15.5">
      <c r="A65" s="295" t="s">
        <v>50</v>
      </c>
      <c r="B65" s="326" t="s">
        <v>44</v>
      </c>
      <c r="C65" s="287"/>
      <c r="D65" s="298"/>
      <c r="E65" s="312"/>
      <c r="F65" s="298"/>
    </row>
    <row r="66" spans="1:6" s="2" customFormat="1" ht="15.5">
      <c r="A66" s="295" t="s">
        <v>321</v>
      </c>
      <c r="B66" s="301" t="s">
        <v>714</v>
      </c>
      <c r="C66" s="297" t="s">
        <v>4</v>
      </c>
      <c r="D66" s="297">
        <f>3*5</f>
        <v>15</v>
      </c>
      <c r="E66" s="289"/>
      <c r="F66" s="298">
        <f>D66*E66</f>
        <v>0</v>
      </c>
    </row>
    <row r="67" spans="1:6" s="2" customFormat="1" ht="15.5">
      <c r="A67" s="295" t="s">
        <v>322</v>
      </c>
      <c r="B67" s="326" t="s">
        <v>45</v>
      </c>
      <c r="C67" s="316"/>
      <c r="D67" s="316"/>
      <c r="E67" s="289"/>
      <c r="F67" s="298"/>
    </row>
    <row r="68" spans="1:6" s="2" customFormat="1" ht="15.5">
      <c r="A68" s="295" t="s">
        <v>323</v>
      </c>
      <c r="B68" s="301" t="s">
        <v>388</v>
      </c>
      <c r="C68" s="297" t="s">
        <v>4</v>
      </c>
      <c r="D68" s="297">
        <f>16*0.4</f>
        <v>6.4</v>
      </c>
      <c r="E68" s="289"/>
      <c r="F68" s="298">
        <f>D68*E68</f>
        <v>0</v>
      </c>
    </row>
    <row r="69" spans="1:6" s="2" customFormat="1" ht="15.5" hidden="1">
      <c r="A69" s="295" t="s">
        <v>324</v>
      </c>
      <c r="B69" s="326" t="s">
        <v>325</v>
      </c>
      <c r="C69" s="297"/>
      <c r="D69" s="297"/>
      <c r="E69" s="289"/>
      <c r="F69" s="298"/>
    </row>
    <row r="70" spans="1:6" s="2" customFormat="1" ht="15.5" hidden="1">
      <c r="A70" s="295" t="s">
        <v>326</v>
      </c>
      <c r="B70" s="301" t="s">
        <v>327</v>
      </c>
      <c r="C70" s="297" t="s">
        <v>9</v>
      </c>
      <c r="D70" s="297"/>
      <c r="E70" s="289"/>
      <c r="F70" s="298">
        <f>D70*E70</f>
        <v>0</v>
      </c>
    </row>
    <row r="71" spans="1:6" s="2" customFormat="1" ht="17.25" customHeight="1">
      <c r="A71" s="285"/>
      <c r="B71" s="323" t="s">
        <v>46</v>
      </c>
      <c r="C71" s="308"/>
      <c r="D71" s="309"/>
      <c r="E71" s="310"/>
      <c r="F71" s="311">
        <f>SUM(F66:F70)</f>
        <v>0</v>
      </c>
    </row>
    <row r="72" spans="1:6" s="327" customFormat="1" ht="17.25" customHeight="1">
      <c r="A72" s="285"/>
      <c r="B72" s="324"/>
      <c r="C72" s="287"/>
      <c r="D72" s="298"/>
      <c r="E72" s="312"/>
      <c r="F72" s="298"/>
    </row>
    <row r="73" spans="1:6" s="2" customFormat="1" ht="15.5">
      <c r="A73" s="290" t="s">
        <v>53</v>
      </c>
      <c r="B73" s="291" t="s">
        <v>48</v>
      </c>
      <c r="C73" s="292"/>
      <c r="D73" s="293"/>
      <c r="E73" s="294"/>
      <c r="F73" s="293"/>
    </row>
    <row r="74" spans="1:6" s="2" customFormat="1" ht="15.5">
      <c r="A74" s="328" t="s">
        <v>328</v>
      </c>
      <c r="B74" s="329" t="s">
        <v>51</v>
      </c>
      <c r="C74" s="297"/>
      <c r="D74" s="297"/>
      <c r="E74" s="289"/>
      <c r="F74" s="298"/>
    </row>
    <row r="75" spans="1:6" s="2" customFormat="1" ht="15.5">
      <c r="A75" s="328" t="s">
        <v>329</v>
      </c>
      <c r="B75" s="325" t="s">
        <v>330</v>
      </c>
      <c r="C75" s="297" t="s">
        <v>182</v>
      </c>
      <c r="D75" s="297">
        <v>1</v>
      </c>
      <c r="E75" s="289"/>
      <c r="F75" s="298">
        <f>D75*E75</f>
        <v>0</v>
      </c>
    </row>
    <row r="76" spans="1:6" s="2" customFormat="1" ht="18" customHeight="1">
      <c r="A76" s="285"/>
      <c r="B76" s="323" t="s">
        <v>52</v>
      </c>
      <c r="C76" s="308"/>
      <c r="D76" s="309"/>
      <c r="E76" s="310"/>
      <c r="F76" s="311">
        <f>SUM(F75)</f>
        <v>0</v>
      </c>
    </row>
    <row r="77" spans="1:6" s="2" customFormat="1" ht="11" customHeight="1">
      <c r="A77" s="295"/>
      <c r="B77" s="330"/>
      <c r="C77" s="287"/>
      <c r="D77" s="298"/>
      <c r="E77" s="312"/>
      <c r="F77" s="298"/>
    </row>
    <row r="78" spans="1:6" s="2" customFormat="1" ht="15.5">
      <c r="A78" s="290" t="s">
        <v>72</v>
      </c>
      <c r="B78" s="291" t="s">
        <v>55</v>
      </c>
      <c r="C78" s="292"/>
      <c r="D78" s="293"/>
      <c r="E78" s="294"/>
      <c r="F78" s="293"/>
    </row>
    <row r="79" spans="1:6" s="2" customFormat="1" ht="15.5">
      <c r="A79" s="295" t="s">
        <v>132</v>
      </c>
      <c r="B79" s="326" t="s">
        <v>331</v>
      </c>
      <c r="C79" s="287"/>
      <c r="D79" s="298"/>
      <c r="E79" s="312"/>
      <c r="F79" s="298"/>
    </row>
    <row r="80" spans="1:6" s="2" customFormat="1" ht="15.5">
      <c r="A80" s="295" t="s">
        <v>163</v>
      </c>
      <c r="B80" s="301" t="s">
        <v>332</v>
      </c>
      <c r="C80" s="287"/>
      <c r="D80" s="298"/>
      <c r="E80" s="312"/>
      <c r="F80" s="298"/>
    </row>
    <row r="81" spans="1:6" s="2" customFormat="1" ht="15.5">
      <c r="A81" s="295"/>
      <c r="B81" s="301" t="s">
        <v>333</v>
      </c>
      <c r="C81" s="297" t="s">
        <v>9</v>
      </c>
      <c r="D81" s="297">
        <v>2</v>
      </c>
      <c r="E81" s="289"/>
      <c r="F81" s="298">
        <f>D81*E81</f>
        <v>0</v>
      </c>
    </row>
    <row r="82" spans="1:6" s="2" customFormat="1" ht="17.5" customHeight="1">
      <c r="A82" s="331"/>
      <c r="B82" s="323" t="s">
        <v>56</v>
      </c>
      <c r="C82" s="332"/>
      <c r="D82" s="309"/>
      <c r="E82" s="310"/>
      <c r="F82" s="311">
        <f>SUM(F81:F81)</f>
        <v>0</v>
      </c>
    </row>
    <row r="83" spans="1:6" s="2" customFormat="1" ht="11" customHeight="1">
      <c r="A83" s="331"/>
      <c r="B83" s="286"/>
      <c r="C83" s="333"/>
      <c r="D83" s="298"/>
      <c r="E83" s="312"/>
      <c r="F83" s="298"/>
    </row>
    <row r="84" spans="1:6" s="2" customFormat="1" ht="15.5">
      <c r="A84" s="290" t="s">
        <v>54</v>
      </c>
      <c r="B84" s="291" t="s">
        <v>334</v>
      </c>
      <c r="C84" s="292"/>
      <c r="D84" s="293"/>
      <c r="E84" s="294"/>
      <c r="F84" s="293"/>
    </row>
    <row r="85" spans="1:6" s="2" customFormat="1" ht="15.5">
      <c r="A85" s="295" t="s">
        <v>335</v>
      </c>
      <c r="B85" s="326" t="s">
        <v>336</v>
      </c>
      <c r="C85" s="333"/>
      <c r="D85" s="298"/>
      <c r="E85" s="312"/>
      <c r="F85" s="298"/>
    </row>
    <row r="86" spans="1:6" s="2" customFormat="1" ht="15.5">
      <c r="A86" s="295" t="s">
        <v>337</v>
      </c>
      <c r="B86" s="326" t="s">
        <v>338</v>
      </c>
      <c r="C86" s="297"/>
      <c r="D86" s="297"/>
      <c r="E86" s="312"/>
      <c r="F86" s="298"/>
    </row>
    <row r="87" spans="1:6" s="2" customFormat="1" ht="18" customHeight="1">
      <c r="A87" s="295" t="s">
        <v>339</v>
      </c>
      <c r="B87" s="301" t="s">
        <v>389</v>
      </c>
      <c r="C87" s="297" t="s">
        <v>9</v>
      </c>
      <c r="D87" s="297">
        <v>2</v>
      </c>
      <c r="E87" s="312"/>
      <c r="F87" s="298">
        <f>D87*E87</f>
        <v>0</v>
      </c>
    </row>
    <row r="88" spans="1:6" s="2" customFormat="1" ht="30" customHeight="1">
      <c r="A88" s="295" t="s">
        <v>340</v>
      </c>
      <c r="B88" s="334" t="s">
        <v>390</v>
      </c>
      <c r="C88" s="297" t="s">
        <v>7</v>
      </c>
      <c r="D88" s="297">
        <v>6</v>
      </c>
      <c r="E88" s="289"/>
      <c r="F88" s="288">
        <f>D88*E88</f>
        <v>0</v>
      </c>
    </row>
    <row r="89" spans="1:6" s="2" customFormat="1" ht="30" customHeight="1">
      <c r="A89" s="295" t="s">
        <v>340</v>
      </c>
      <c r="B89" s="334" t="s">
        <v>391</v>
      </c>
      <c r="C89" s="297" t="s">
        <v>9</v>
      </c>
      <c r="D89" s="297">
        <v>1</v>
      </c>
      <c r="E89" s="289"/>
      <c r="F89" s="288">
        <f>D89*E89</f>
        <v>0</v>
      </c>
    </row>
    <row r="90" spans="1:6" s="2" customFormat="1" ht="17.5" customHeight="1">
      <c r="A90" s="331"/>
      <c r="B90" s="323" t="s">
        <v>341</v>
      </c>
      <c r="C90" s="332"/>
      <c r="D90" s="309"/>
      <c r="E90" s="310"/>
      <c r="F90" s="311">
        <f>SUM(F86:F89)</f>
        <v>0</v>
      </c>
    </row>
    <row r="91" spans="1:6" s="341" customFormat="1" ht="11" customHeight="1">
      <c r="A91" s="335"/>
      <c r="B91" s="336"/>
      <c r="C91" s="337"/>
      <c r="D91" s="338"/>
      <c r="E91" s="339"/>
      <c r="F91" s="340"/>
    </row>
    <row r="92" spans="1:6" s="2" customFormat="1" ht="15.5">
      <c r="A92" s="290" t="s">
        <v>73</v>
      </c>
      <c r="B92" s="291" t="s">
        <v>65</v>
      </c>
      <c r="C92" s="292"/>
      <c r="D92" s="293"/>
      <c r="E92" s="294"/>
      <c r="F92" s="293"/>
    </row>
    <row r="93" spans="1:6" s="2" customFormat="1" ht="15.5">
      <c r="A93" s="295" t="s">
        <v>144</v>
      </c>
      <c r="B93" s="326" t="s">
        <v>66</v>
      </c>
      <c r="C93" s="297"/>
      <c r="D93" s="297"/>
      <c r="E93" s="312"/>
      <c r="F93" s="298"/>
    </row>
    <row r="94" spans="1:6" s="2" customFormat="1" ht="18" customHeight="1">
      <c r="A94" s="295" t="s">
        <v>165</v>
      </c>
      <c r="B94" s="301" t="s">
        <v>342</v>
      </c>
      <c r="C94" s="297" t="s">
        <v>4</v>
      </c>
      <c r="D94" s="297">
        <f>2*5</f>
        <v>10</v>
      </c>
      <c r="E94" s="312"/>
      <c r="F94" s="298">
        <f>D94*E94</f>
        <v>0</v>
      </c>
    </row>
    <row r="95" spans="1:6" s="2" customFormat="1" ht="18" customHeight="1">
      <c r="A95" s="295" t="s">
        <v>343</v>
      </c>
      <c r="B95" s="301" t="s">
        <v>392</v>
      </c>
      <c r="C95" s="297" t="s">
        <v>4</v>
      </c>
      <c r="D95" s="297">
        <v>20</v>
      </c>
      <c r="E95" s="312"/>
      <c r="F95" s="298">
        <f>D95*E95</f>
        <v>0</v>
      </c>
    </row>
    <row r="96" spans="1:6" s="2" customFormat="1" ht="17" customHeight="1">
      <c r="A96" s="331"/>
      <c r="B96" s="323" t="s">
        <v>67</v>
      </c>
      <c r="C96" s="332"/>
      <c r="D96" s="309"/>
      <c r="E96" s="310"/>
      <c r="F96" s="311">
        <f>SUM(F93:F95)</f>
        <v>0</v>
      </c>
    </row>
    <row r="97" spans="1:6" s="2" customFormat="1" ht="15.5">
      <c r="A97" s="331"/>
      <c r="B97" s="286"/>
      <c r="C97" s="333"/>
      <c r="D97" s="298"/>
      <c r="E97" s="312"/>
      <c r="F97" s="298"/>
    </row>
    <row r="98" spans="1:6" s="2" customFormat="1" ht="15.5">
      <c r="A98" s="290" t="s">
        <v>74</v>
      </c>
      <c r="B98" s="291" t="s">
        <v>11</v>
      </c>
      <c r="C98" s="292"/>
      <c r="D98" s="293"/>
      <c r="E98" s="294"/>
      <c r="F98" s="293"/>
    </row>
    <row r="99" spans="1:6" s="2" customFormat="1" ht="17.25" customHeight="1">
      <c r="A99" s="295" t="s">
        <v>136</v>
      </c>
      <c r="B99" s="326" t="s">
        <v>344</v>
      </c>
      <c r="C99" s="297"/>
      <c r="D99" s="297"/>
      <c r="E99" s="289"/>
      <c r="F99" s="298"/>
    </row>
    <row r="100" spans="1:6" s="2" customFormat="1" ht="15.5">
      <c r="A100" s="295" t="s">
        <v>166</v>
      </c>
      <c r="B100" s="301" t="s">
        <v>393</v>
      </c>
      <c r="C100" s="297" t="s">
        <v>4</v>
      </c>
      <c r="D100" s="297">
        <v>25.45</v>
      </c>
      <c r="E100" s="289"/>
      <c r="F100" s="298">
        <f>D100*E100</f>
        <v>0</v>
      </c>
    </row>
    <row r="101" spans="1:6" s="2" customFormat="1" ht="15.5">
      <c r="A101" s="295" t="s">
        <v>167</v>
      </c>
      <c r="B101" s="301" t="s">
        <v>394</v>
      </c>
      <c r="C101" s="297" t="s">
        <v>4</v>
      </c>
      <c r="D101" s="297">
        <f>7*1.5</f>
        <v>10.5</v>
      </c>
      <c r="E101" s="289"/>
      <c r="F101" s="298">
        <f>D101*E101</f>
        <v>0</v>
      </c>
    </row>
    <row r="102" spans="1:6" s="2" customFormat="1" ht="15.5">
      <c r="A102" s="295" t="s">
        <v>168</v>
      </c>
      <c r="B102" s="326" t="s">
        <v>63</v>
      </c>
      <c r="C102" s="297"/>
      <c r="D102" s="297"/>
      <c r="E102" s="289"/>
      <c r="F102" s="298"/>
    </row>
    <row r="103" spans="1:6" s="2" customFormat="1" ht="15.5">
      <c r="A103" s="295" t="s">
        <v>169</v>
      </c>
      <c r="B103" s="301" t="s">
        <v>60</v>
      </c>
      <c r="C103" s="297" t="s">
        <v>4</v>
      </c>
      <c r="D103" s="297">
        <f>10*1.5</f>
        <v>15</v>
      </c>
      <c r="E103" s="289"/>
      <c r="F103" s="298">
        <f>D103*E103</f>
        <v>0</v>
      </c>
    </row>
    <row r="104" spans="1:6" s="2" customFormat="1" ht="15.5">
      <c r="A104" s="328" t="s">
        <v>170</v>
      </c>
      <c r="B104" s="326" t="s">
        <v>57</v>
      </c>
      <c r="C104" s="297"/>
      <c r="D104" s="297"/>
      <c r="E104" s="289"/>
      <c r="F104" s="298"/>
    </row>
    <row r="105" spans="1:6" s="2" customFormat="1" ht="15.5">
      <c r="A105" s="328" t="s">
        <v>171</v>
      </c>
      <c r="B105" s="301" t="s">
        <v>345</v>
      </c>
      <c r="C105" s="297" t="s">
        <v>4</v>
      </c>
      <c r="D105" s="297">
        <f>2*2*0.7*2</f>
        <v>5.6</v>
      </c>
      <c r="E105" s="289"/>
      <c r="F105" s="298">
        <f>D105*E105</f>
        <v>0</v>
      </c>
    </row>
    <row r="106" spans="1:6" s="345" customFormat="1" ht="17" customHeight="1">
      <c r="A106" s="342"/>
      <c r="B106" s="343" t="s">
        <v>58</v>
      </c>
      <c r="C106" s="344"/>
      <c r="D106" s="309"/>
      <c r="E106" s="310"/>
      <c r="F106" s="311">
        <f>SUM(F100:F105)</f>
        <v>0</v>
      </c>
    </row>
    <row r="107" spans="1:6" s="2" customFormat="1" ht="15.5">
      <c r="A107" s="346"/>
      <c r="B107" s="347"/>
      <c r="C107" s="347"/>
      <c r="D107" s="347"/>
      <c r="E107" s="351"/>
      <c r="F107" s="347"/>
    </row>
    <row r="108" spans="1:6" s="2" customFormat="1" ht="20.25" customHeight="1">
      <c r="A108" s="578" t="s">
        <v>395</v>
      </c>
      <c r="B108" s="579"/>
      <c r="C108" s="580"/>
      <c r="D108" s="348"/>
      <c r="E108" s="352"/>
      <c r="F108" s="349">
        <f>F13+F53+F61+F71+F76+F82+F90+F96+F106</f>
        <v>0</v>
      </c>
    </row>
    <row r="109" spans="1:6">
      <c r="E109" s="353"/>
    </row>
    <row r="110" spans="1:6" s="2" customFormat="1" ht="20.25" customHeight="1">
      <c r="A110" s="578" t="s">
        <v>398</v>
      </c>
      <c r="B110" s="579"/>
      <c r="C110" s="580"/>
      <c r="D110" s="354">
        <v>0.1</v>
      </c>
      <c r="E110" s="352"/>
      <c r="F110" s="349">
        <f>F108*D110</f>
        <v>0</v>
      </c>
    </row>
    <row r="111" spans="1:6">
      <c r="E111" s="353"/>
    </row>
    <row r="112" spans="1:6" s="2" customFormat="1" ht="20.25" customHeight="1">
      <c r="A112" s="578" t="s">
        <v>396</v>
      </c>
      <c r="B112" s="579"/>
      <c r="C112" s="580"/>
      <c r="D112" s="348"/>
      <c r="E112" s="352"/>
      <c r="F112" s="349">
        <v>3</v>
      </c>
    </row>
    <row r="113" spans="1:6">
      <c r="E113" s="353"/>
    </row>
    <row r="114" spans="1:6" s="2" customFormat="1" ht="20.25" customHeight="1">
      <c r="A114" s="578" t="s">
        <v>397</v>
      </c>
      <c r="B114" s="579"/>
      <c r="C114" s="580"/>
      <c r="D114" s="348"/>
      <c r="E114" s="352"/>
      <c r="F114" s="349">
        <f>(F108+F110)*F112</f>
        <v>0</v>
      </c>
    </row>
    <row r="115" spans="1:6">
      <c r="E115" s="353"/>
    </row>
    <row r="116" spans="1:6" s="2" customFormat="1" ht="15.5">
      <c r="A116" s="232"/>
      <c r="B116" s="232"/>
      <c r="D116" s="3"/>
      <c r="E116" s="3"/>
      <c r="F116" s="3"/>
    </row>
  </sheetData>
  <sheetProtection selectLockedCells="1"/>
  <mergeCells count="6">
    <mergeCell ref="A1:F1"/>
    <mergeCell ref="A2:F2"/>
    <mergeCell ref="A108:C108"/>
    <mergeCell ref="A112:C112"/>
    <mergeCell ref="A114:C114"/>
    <mergeCell ref="A110:C110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9558-73E3-4ABD-A946-324646B3AB02}">
  <dimension ref="A1:H42"/>
  <sheetViews>
    <sheetView view="pageBreakPreview" topLeftCell="A28" zoomScaleNormal="100" zoomScaleSheetLayoutView="100" workbookViewId="0">
      <selection activeCell="I13" sqref="I13"/>
    </sheetView>
  </sheetViews>
  <sheetFormatPr baseColWidth="10" defaultColWidth="8" defaultRowHeight="13"/>
  <cols>
    <col min="1" max="1" width="1.81640625" style="504" customWidth="1"/>
    <col min="2" max="2" width="4" style="504" customWidth="1"/>
    <col min="3" max="3" width="62.1796875" style="504" customWidth="1"/>
    <col min="4" max="4" width="5" style="504" customWidth="1"/>
    <col min="5" max="5" width="7.1796875" style="504" customWidth="1"/>
    <col min="6" max="6" width="12.54296875" style="504" customWidth="1"/>
    <col min="7" max="7" width="15.1796875" style="504" customWidth="1"/>
    <col min="8" max="8" width="5.81640625" style="504" customWidth="1"/>
    <col min="9" max="16384" width="8" style="504"/>
  </cols>
  <sheetData>
    <row r="1" spans="1:8" s="505" customFormat="1" ht="37.5" customHeight="1" thickBot="1">
      <c r="B1" s="581" t="s">
        <v>704</v>
      </c>
      <c r="C1" s="582"/>
      <c r="D1" s="582"/>
      <c r="E1" s="582"/>
      <c r="F1" s="582"/>
      <c r="G1" s="583"/>
      <c r="H1" s="549"/>
    </row>
    <row r="2" spans="1:8" s="543" customFormat="1" ht="13.5" customHeight="1">
      <c r="B2" s="548"/>
      <c r="C2" s="546"/>
      <c r="D2" s="547"/>
      <c r="E2" s="546"/>
      <c r="F2" s="546"/>
      <c r="G2" s="545"/>
      <c r="H2" s="544"/>
    </row>
    <row r="3" spans="1:8" s="505" customFormat="1" ht="15.75" customHeight="1">
      <c r="A3" s="517"/>
      <c r="B3" s="540" t="s">
        <v>703</v>
      </c>
      <c r="C3" s="540" t="s">
        <v>702</v>
      </c>
      <c r="D3" s="542" t="s">
        <v>75</v>
      </c>
      <c r="E3" s="541" t="s">
        <v>701</v>
      </c>
      <c r="F3" s="540" t="s">
        <v>700</v>
      </c>
      <c r="G3" s="540" t="s">
        <v>699</v>
      </c>
      <c r="H3" s="517"/>
    </row>
    <row r="4" spans="1:8" s="505" customFormat="1" ht="15.75" customHeight="1">
      <c r="A4" s="517"/>
      <c r="B4" s="536">
        <v>1</v>
      </c>
      <c r="C4" s="531" t="s">
        <v>698</v>
      </c>
      <c r="D4" s="535"/>
      <c r="E4" s="525"/>
      <c r="F4" s="525"/>
      <c r="G4" s="525"/>
      <c r="H4" s="517"/>
    </row>
    <row r="5" spans="1:8" s="505" customFormat="1" ht="15.75" customHeight="1">
      <c r="A5" s="517"/>
      <c r="B5" s="525"/>
      <c r="C5" s="531" t="s">
        <v>697</v>
      </c>
      <c r="D5" s="528" t="s">
        <v>682</v>
      </c>
      <c r="E5" s="527">
        <v>1</v>
      </c>
      <c r="F5" s="521"/>
      <c r="G5" s="520">
        <f>E5*F5</f>
        <v>0</v>
      </c>
      <c r="H5" s="517"/>
    </row>
    <row r="6" spans="1:8" s="505" customFormat="1" ht="15.75" customHeight="1">
      <c r="A6" s="517"/>
      <c r="B6" s="536">
        <v>2</v>
      </c>
      <c r="C6" s="539" t="s">
        <v>696</v>
      </c>
      <c r="D6" s="535"/>
      <c r="E6" s="525"/>
      <c r="F6" s="525"/>
      <c r="G6" s="520"/>
      <c r="H6" s="517"/>
    </row>
    <row r="7" spans="1:8" s="505" customFormat="1" ht="15.75" customHeight="1">
      <c r="A7" s="517"/>
      <c r="B7" s="525"/>
      <c r="C7" s="531" t="s">
        <v>695</v>
      </c>
      <c r="D7" s="533" t="s">
        <v>7</v>
      </c>
      <c r="E7" s="532">
        <v>30</v>
      </c>
      <c r="F7" s="521"/>
      <c r="G7" s="520">
        <f>E7*F7</f>
        <v>0</v>
      </c>
      <c r="H7" s="517"/>
    </row>
    <row r="8" spans="1:8" s="505" customFormat="1" ht="15.75" customHeight="1">
      <c r="A8" s="517"/>
      <c r="B8" s="525"/>
      <c r="C8" s="531" t="s">
        <v>694</v>
      </c>
      <c r="D8" s="533" t="s">
        <v>7</v>
      </c>
      <c r="E8" s="532">
        <v>70</v>
      </c>
      <c r="F8" s="521"/>
      <c r="G8" s="520">
        <f>E8*F8</f>
        <v>0</v>
      </c>
      <c r="H8" s="517"/>
    </row>
    <row r="9" spans="1:8" s="505" customFormat="1" ht="15.75" customHeight="1">
      <c r="A9" s="517"/>
      <c r="B9" s="536">
        <v>3</v>
      </c>
      <c r="C9" s="539" t="s">
        <v>693</v>
      </c>
      <c r="D9" s="535"/>
      <c r="E9" s="525"/>
      <c r="F9" s="525"/>
      <c r="G9" s="520"/>
      <c r="H9" s="517"/>
    </row>
    <row r="10" spans="1:8" s="505" customFormat="1" ht="15.75" customHeight="1">
      <c r="A10" s="517"/>
      <c r="B10" s="525"/>
      <c r="C10" s="531" t="s">
        <v>692</v>
      </c>
      <c r="D10" s="533" t="s">
        <v>7</v>
      </c>
      <c r="E10" s="532">
        <v>82</v>
      </c>
      <c r="F10" s="521"/>
      <c r="G10" s="520">
        <f>E10*F10</f>
        <v>0</v>
      </c>
      <c r="H10" s="517"/>
    </row>
    <row r="11" spans="1:8" s="505" customFormat="1" ht="15.75" customHeight="1">
      <c r="A11" s="517"/>
      <c r="B11" s="525"/>
      <c r="C11" s="531" t="s">
        <v>691</v>
      </c>
      <c r="D11" s="533" t="s">
        <v>7</v>
      </c>
      <c r="E11" s="532">
        <v>18</v>
      </c>
      <c r="F11" s="521"/>
      <c r="G11" s="520">
        <f>E11*F11</f>
        <v>0</v>
      </c>
      <c r="H11" s="517"/>
    </row>
    <row r="12" spans="1:8" s="505" customFormat="1" ht="31.5" customHeight="1">
      <c r="A12" s="537"/>
      <c r="B12" s="538"/>
      <c r="C12" s="531" t="s">
        <v>690</v>
      </c>
      <c r="D12" s="533" t="s">
        <v>7</v>
      </c>
      <c r="E12" s="532">
        <v>40</v>
      </c>
      <c r="F12" s="521"/>
      <c r="G12" s="520">
        <f>E12*F12</f>
        <v>0</v>
      </c>
      <c r="H12" s="537"/>
    </row>
    <row r="13" spans="1:8" s="505" customFormat="1" ht="15.75" customHeight="1">
      <c r="A13" s="517"/>
      <c r="B13" s="525"/>
      <c r="C13" s="531" t="s">
        <v>689</v>
      </c>
      <c r="D13" s="528" t="s">
        <v>682</v>
      </c>
      <c r="E13" s="527">
        <v>1</v>
      </c>
      <c r="F13" s="521"/>
      <c r="G13" s="520">
        <f>E13*F13</f>
        <v>0</v>
      </c>
      <c r="H13" s="517"/>
    </row>
    <row r="14" spans="1:8" s="505" customFormat="1" ht="15.75" customHeight="1">
      <c r="A14" s="517"/>
      <c r="B14" s="536">
        <v>4</v>
      </c>
      <c r="C14" s="531" t="s">
        <v>688</v>
      </c>
      <c r="D14" s="535"/>
      <c r="E14" s="525"/>
      <c r="F14" s="525"/>
      <c r="G14" s="520"/>
      <c r="H14" s="517"/>
    </row>
    <row r="15" spans="1:8" s="505" customFormat="1" ht="15.75" customHeight="1">
      <c r="A15" s="517"/>
      <c r="B15" s="525"/>
      <c r="C15" s="531" t="s">
        <v>687</v>
      </c>
      <c r="D15" s="528" t="s">
        <v>682</v>
      </c>
      <c r="E15" s="527">
        <v>1</v>
      </c>
      <c r="F15" s="521"/>
      <c r="G15" s="520">
        <f>E15*F15</f>
        <v>0</v>
      </c>
      <c r="H15" s="517"/>
    </row>
    <row r="16" spans="1:8" s="505" customFormat="1" ht="15.75" customHeight="1">
      <c r="A16" s="517"/>
      <c r="B16" s="536">
        <v>5</v>
      </c>
      <c r="C16" s="531" t="s">
        <v>686</v>
      </c>
      <c r="D16" s="535"/>
      <c r="E16" s="525"/>
      <c r="F16" s="525"/>
      <c r="G16" s="520"/>
      <c r="H16" s="517"/>
    </row>
    <row r="17" spans="1:8" s="505" customFormat="1" ht="15.75" customHeight="1">
      <c r="A17" s="517"/>
      <c r="B17" s="525"/>
      <c r="C17" s="531" t="s">
        <v>685</v>
      </c>
      <c r="D17" s="528" t="s">
        <v>682</v>
      </c>
      <c r="E17" s="527">
        <v>1</v>
      </c>
      <c r="F17" s="521"/>
      <c r="G17" s="520">
        <f>E17*F17</f>
        <v>0</v>
      </c>
      <c r="H17" s="517"/>
    </row>
    <row r="18" spans="1:8" s="505" customFormat="1" ht="15.75" customHeight="1">
      <c r="A18" s="517"/>
      <c r="B18" s="536">
        <v>6</v>
      </c>
      <c r="C18" s="531" t="s">
        <v>684</v>
      </c>
      <c r="D18" s="535"/>
      <c r="E18" s="525"/>
      <c r="F18" s="525"/>
      <c r="G18" s="520"/>
      <c r="H18" s="517"/>
    </row>
    <row r="19" spans="1:8" s="505" customFormat="1" ht="27" customHeight="1">
      <c r="A19" s="517"/>
      <c r="B19" s="525"/>
      <c r="C19" s="534" t="s">
        <v>683</v>
      </c>
      <c r="D19" s="528" t="s">
        <v>682</v>
      </c>
      <c r="E19" s="527">
        <v>1</v>
      </c>
      <c r="F19" s="521"/>
      <c r="G19" s="520">
        <f t="shared" ref="G19:G26" si="0">E19*F19</f>
        <v>0</v>
      </c>
      <c r="H19" s="517"/>
    </row>
    <row r="20" spans="1:8" s="505" customFormat="1" ht="15.75" customHeight="1">
      <c r="A20" s="517"/>
      <c r="B20" s="525"/>
      <c r="C20" s="531" t="s">
        <v>681</v>
      </c>
      <c r="D20" s="528" t="s">
        <v>9</v>
      </c>
      <c r="E20" s="527">
        <v>1</v>
      </c>
      <c r="F20" s="521"/>
      <c r="G20" s="520">
        <f t="shared" si="0"/>
        <v>0</v>
      </c>
      <c r="H20" s="517"/>
    </row>
    <row r="21" spans="1:8" s="505" customFormat="1" ht="15.75" customHeight="1">
      <c r="A21" s="517"/>
      <c r="B21" s="525"/>
      <c r="C21" s="531" t="s">
        <v>680</v>
      </c>
      <c r="D21" s="528" t="s">
        <v>9</v>
      </c>
      <c r="E21" s="527">
        <v>1</v>
      </c>
      <c r="F21" s="521"/>
      <c r="G21" s="520">
        <f t="shared" si="0"/>
        <v>0</v>
      </c>
      <c r="H21" s="517"/>
    </row>
    <row r="22" spans="1:8" s="505" customFormat="1" ht="15.75" customHeight="1">
      <c r="A22" s="517"/>
      <c r="B22" s="525"/>
      <c r="C22" s="531" t="s">
        <v>679</v>
      </c>
      <c r="D22" s="533" t="s">
        <v>7</v>
      </c>
      <c r="E22" s="532">
        <v>100</v>
      </c>
      <c r="F22" s="521"/>
      <c r="G22" s="520">
        <f t="shared" si="0"/>
        <v>0</v>
      </c>
      <c r="H22" s="517"/>
    </row>
    <row r="23" spans="1:8" s="505" customFormat="1" ht="15.75" customHeight="1">
      <c r="A23" s="517"/>
      <c r="B23" s="525"/>
      <c r="C23" s="531" t="s">
        <v>678</v>
      </c>
      <c r="D23" s="533" t="s">
        <v>7</v>
      </c>
      <c r="E23" s="532">
        <v>60</v>
      </c>
      <c r="F23" s="521"/>
      <c r="G23" s="520">
        <f t="shared" si="0"/>
        <v>0</v>
      </c>
      <c r="H23" s="517"/>
    </row>
    <row r="24" spans="1:8" s="505" customFormat="1" ht="15.75" customHeight="1">
      <c r="A24" s="517"/>
      <c r="B24" s="525"/>
      <c r="C24" s="531" t="s">
        <v>677</v>
      </c>
      <c r="D24" s="528" t="s">
        <v>9</v>
      </c>
      <c r="E24" s="527">
        <v>1</v>
      </c>
      <c r="F24" s="521"/>
      <c r="G24" s="520">
        <f t="shared" si="0"/>
        <v>0</v>
      </c>
      <c r="H24" s="517"/>
    </row>
    <row r="25" spans="1:8" s="505" customFormat="1" ht="15.75" customHeight="1">
      <c r="A25" s="517"/>
      <c r="B25" s="525"/>
      <c r="C25" s="531" t="s">
        <v>676</v>
      </c>
      <c r="D25" s="528" t="s">
        <v>9</v>
      </c>
      <c r="E25" s="527">
        <v>1</v>
      </c>
      <c r="F25" s="521"/>
      <c r="G25" s="520">
        <f t="shared" si="0"/>
        <v>0</v>
      </c>
      <c r="H25" s="517"/>
    </row>
    <row r="26" spans="1:8" s="505" customFormat="1" ht="15.75" customHeight="1">
      <c r="A26" s="517"/>
      <c r="B26" s="525"/>
      <c r="C26" s="531" t="s">
        <v>675</v>
      </c>
      <c r="D26" s="530" t="s">
        <v>674</v>
      </c>
      <c r="E26" s="527">
        <v>1</v>
      </c>
      <c r="F26" s="521"/>
      <c r="G26" s="520">
        <f t="shared" si="0"/>
        <v>0</v>
      </c>
      <c r="H26" s="517"/>
    </row>
    <row r="27" spans="1:8" s="505" customFormat="1" ht="15.75" customHeight="1">
      <c r="A27" s="517"/>
      <c r="B27" s="525"/>
      <c r="C27" s="529" t="s">
        <v>673</v>
      </c>
      <c r="D27" s="528"/>
      <c r="E27" s="527"/>
      <c r="F27" s="521"/>
      <c r="G27" s="520"/>
      <c r="H27" s="517"/>
    </row>
    <row r="28" spans="1:8" s="505" customFormat="1" ht="15.75" customHeight="1">
      <c r="A28" s="517"/>
      <c r="B28" s="525"/>
      <c r="C28" s="524" t="s">
        <v>672</v>
      </c>
      <c r="D28" s="523" t="s">
        <v>7</v>
      </c>
      <c r="E28" s="522">
        <v>8</v>
      </c>
      <c r="F28" s="521"/>
      <c r="G28" s="520">
        <f t="shared" ref="G28:G34" si="1">E28*F28</f>
        <v>0</v>
      </c>
      <c r="H28" s="517"/>
    </row>
    <row r="29" spans="1:8" s="505" customFormat="1" ht="15.75" customHeight="1">
      <c r="A29" s="517"/>
      <c r="B29" s="525"/>
      <c r="C29" s="524" t="s">
        <v>671</v>
      </c>
      <c r="D29" s="523" t="s">
        <v>10</v>
      </c>
      <c r="E29" s="526">
        <f>8*0.1*0.5</f>
        <v>0.4</v>
      </c>
      <c r="F29" s="521"/>
      <c r="G29" s="520">
        <f t="shared" si="1"/>
        <v>0</v>
      </c>
      <c r="H29" s="517"/>
    </row>
    <row r="30" spans="1:8" s="505" customFormat="1" ht="15.75" customHeight="1">
      <c r="A30" s="517"/>
      <c r="B30" s="525"/>
      <c r="C30" s="524" t="s">
        <v>670</v>
      </c>
      <c r="D30" s="523" t="s">
        <v>4</v>
      </c>
      <c r="E30" s="522">
        <f>8*0.45</f>
        <v>3.6</v>
      </c>
      <c r="F30" s="521"/>
      <c r="G30" s="520">
        <f t="shared" si="1"/>
        <v>0</v>
      </c>
      <c r="H30" s="517"/>
    </row>
    <row r="31" spans="1:8" s="505" customFormat="1" ht="15.75" customHeight="1">
      <c r="A31" s="517"/>
      <c r="B31" s="525"/>
      <c r="C31" s="524" t="s">
        <v>669</v>
      </c>
      <c r="D31" s="523" t="s">
        <v>10</v>
      </c>
      <c r="E31" s="526">
        <f>8*0.2*0.15</f>
        <v>0.24</v>
      </c>
      <c r="F31" s="521"/>
      <c r="G31" s="520">
        <f t="shared" si="1"/>
        <v>0</v>
      </c>
      <c r="H31" s="517"/>
    </row>
    <row r="32" spans="1:8" s="505" customFormat="1" ht="15.75" customHeight="1">
      <c r="A32" s="517"/>
      <c r="B32" s="525"/>
      <c r="C32" s="524" t="s">
        <v>668</v>
      </c>
      <c r="D32" s="523" t="s">
        <v>4</v>
      </c>
      <c r="E32" s="522">
        <f>8*2</f>
        <v>16</v>
      </c>
      <c r="F32" s="521"/>
      <c r="G32" s="520">
        <f t="shared" si="1"/>
        <v>0</v>
      </c>
      <c r="H32" s="517"/>
    </row>
    <row r="33" spans="1:8" s="505" customFormat="1" ht="15.75" customHeight="1">
      <c r="A33" s="517"/>
      <c r="B33" s="525"/>
      <c r="C33" s="524" t="s">
        <v>667</v>
      </c>
      <c r="D33" s="523" t="s">
        <v>9</v>
      </c>
      <c r="E33" s="522">
        <v>1</v>
      </c>
      <c r="F33" s="521"/>
      <c r="G33" s="520">
        <f t="shared" si="1"/>
        <v>0</v>
      </c>
      <c r="H33" s="517"/>
    </row>
    <row r="34" spans="1:8" s="505" customFormat="1" ht="15.75" customHeight="1">
      <c r="A34" s="517"/>
      <c r="B34" s="525"/>
      <c r="C34" s="524" t="s">
        <v>666</v>
      </c>
      <c r="D34" s="523" t="s">
        <v>4</v>
      </c>
      <c r="E34" s="522">
        <f>8*2*2</f>
        <v>32</v>
      </c>
      <c r="F34" s="521"/>
      <c r="G34" s="520">
        <f t="shared" si="1"/>
        <v>0</v>
      </c>
      <c r="H34" s="517"/>
    </row>
    <row r="35" spans="1:8" s="505" customFormat="1" ht="18.75" customHeight="1">
      <c r="A35" s="517"/>
      <c r="B35" s="519">
        <v>9</v>
      </c>
      <c r="C35" s="584" t="s">
        <v>665</v>
      </c>
      <c r="D35" s="585"/>
      <c r="E35" s="585"/>
      <c r="F35" s="586"/>
      <c r="G35" s="518">
        <f>SUM(G5:G34)</f>
        <v>0</v>
      </c>
      <c r="H35" s="517"/>
    </row>
    <row r="36" spans="1:8" s="506" customFormat="1" ht="19" thickBot="1">
      <c r="A36" s="514"/>
      <c r="C36" s="514"/>
      <c r="D36" s="514"/>
      <c r="E36" s="513"/>
    </row>
    <row r="37" spans="1:8" s="506" customFormat="1" ht="18.75" customHeight="1" thickBot="1">
      <c r="B37" s="512"/>
      <c r="C37" s="511" t="s">
        <v>664</v>
      </c>
      <c r="D37" s="508"/>
      <c r="E37" s="516">
        <v>0.1</v>
      </c>
      <c r="F37" s="508"/>
      <c r="G37" s="507">
        <f>G35*E37</f>
        <v>0</v>
      </c>
    </row>
    <row r="38" spans="1:8" s="506" customFormat="1" ht="19" thickBot="1">
      <c r="A38" s="514"/>
      <c r="B38" s="515"/>
      <c r="C38" s="514"/>
      <c r="D38" s="514"/>
      <c r="E38" s="513"/>
    </row>
    <row r="39" spans="1:8" s="506" customFormat="1" ht="18.75" customHeight="1" thickBot="1">
      <c r="B39" s="512"/>
      <c r="C39" s="511" t="s">
        <v>663</v>
      </c>
      <c r="D39" s="510"/>
      <c r="E39" s="509"/>
      <c r="F39" s="508"/>
      <c r="G39" s="507">
        <f>(G35+G37)</f>
        <v>0</v>
      </c>
    </row>
    <row r="40" spans="1:8" s="505" customFormat="1" ht="60" customHeight="1">
      <c r="A40" s="587"/>
      <c r="B40" s="588"/>
      <c r="C40" s="588"/>
      <c r="D40" s="588"/>
      <c r="E40" s="588"/>
      <c r="F40" s="588"/>
      <c r="G40" s="588"/>
      <c r="H40" s="588"/>
    </row>
    <row r="41" spans="1:8" ht="18.75" customHeight="1">
      <c r="A41" s="589"/>
      <c r="B41" s="589"/>
      <c r="C41" s="589"/>
      <c r="D41" s="589"/>
      <c r="E41" s="589"/>
      <c r="F41" s="589"/>
      <c r="G41" s="589"/>
      <c r="H41" s="589"/>
    </row>
    <row r="42" spans="1:8" ht="51" customHeight="1"/>
  </sheetData>
  <mergeCells count="4">
    <mergeCell ref="B1:G1"/>
    <mergeCell ref="C35:F35"/>
    <mergeCell ref="A40:H40"/>
    <mergeCell ref="A41:H41"/>
  </mergeCell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78B2-9670-4BF1-8B14-31E724686A74}">
  <dimension ref="A2:F16"/>
  <sheetViews>
    <sheetView showGridLines="0" view="pageBreakPreview" zoomScale="90" zoomScaleSheetLayoutView="90" workbookViewId="0">
      <selection activeCell="G8" sqref="G8"/>
    </sheetView>
  </sheetViews>
  <sheetFormatPr baseColWidth="10" defaultColWidth="11.453125" defaultRowHeight="15.5"/>
  <cols>
    <col min="1" max="1" width="8.54296875" style="370" customWidth="1"/>
    <col min="2" max="2" width="61.1796875" style="232" bestFit="1" customWidth="1"/>
    <col min="3" max="3" width="8.54296875" style="2" customWidth="1"/>
    <col min="4" max="4" width="10.54296875" style="3" customWidth="1"/>
    <col min="5" max="5" width="11.1796875" style="3" customWidth="1"/>
    <col min="6" max="6" width="12.81640625" style="3" customWidth="1"/>
    <col min="7" max="16384" width="11.453125" style="2"/>
  </cols>
  <sheetData>
    <row r="2" spans="1:6">
      <c r="A2" s="381"/>
      <c r="B2" s="1"/>
    </row>
    <row r="3" spans="1:6">
      <c r="A3" s="381"/>
      <c r="B3" s="1"/>
    </row>
    <row r="4" spans="1:6" ht="24.65" customHeight="1">
      <c r="A4" s="381"/>
      <c r="B4" s="1"/>
    </row>
    <row r="5" spans="1:6" ht="29.5" customHeight="1">
      <c r="A5" s="590" t="s">
        <v>433</v>
      </c>
      <c r="B5" s="591"/>
      <c r="C5" s="591"/>
      <c r="D5" s="591"/>
      <c r="E5" s="591"/>
      <c r="F5" s="592"/>
    </row>
    <row r="6" spans="1:6" ht="18" customHeight="1" thickBot="1">
      <c r="A6" s="488"/>
      <c r="B6" s="489"/>
      <c r="C6" s="489"/>
      <c r="D6" s="489"/>
      <c r="E6" s="489"/>
      <c r="F6" s="490"/>
    </row>
    <row r="7" spans="1:6" s="284" customFormat="1" ht="42.5" thickTop="1">
      <c r="A7" s="485" t="s">
        <v>12</v>
      </c>
      <c r="B7" s="486" t="s">
        <v>8</v>
      </c>
      <c r="C7" s="487" t="s">
        <v>0</v>
      </c>
      <c r="D7" s="487" t="s">
        <v>2</v>
      </c>
      <c r="E7" s="487" t="s">
        <v>3</v>
      </c>
      <c r="F7" s="487" t="s">
        <v>1</v>
      </c>
    </row>
    <row r="8" spans="1:6">
      <c r="A8" s="342"/>
      <c r="B8" s="286"/>
      <c r="C8" s="287"/>
      <c r="D8" s="288"/>
      <c r="E8" s="288"/>
      <c r="F8" s="288"/>
    </row>
    <row r="9" spans="1:6" ht="18" customHeight="1">
      <c r="A9" s="380" t="s">
        <v>13</v>
      </c>
      <c r="B9" s="291" t="s">
        <v>432</v>
      </c>
      <c r="C9" s="292"/>
      <c r="D9" s="293"/>
      <c r="E9" s="293"/>
      <c r="F9" s="293"/>
    </row>
    <row r="10" spans="1:6" ht="31.25" customHeight="1">
      <c r="A10" s="377">
        <v>1</v>
      </c>
      <c r="B10" s="379" t="s">
        <v>435</v>
      </c>
      <c r="C10" s="333"/>
      <c r="D10" s="333"/>
      <c r="E10" s="298"/>
      <c r="F10" s="298"/>
    </row>
    <row r="11" spans="1:6" ht="18" customHeight="1">
      <c r="A11" s="377">
        <v>2</v>
      </c>
      <c r="B11" s="378" t="s">
        <v>436</v>
      </c>
      <c r="C11" s="333" t="s">
        <v>10</v>
      </c>
      <c r="D11" s="333">
        <f>20*15*0.2</f>
        <v>60</v>
      </c>
      <c r="E11" s="298"/>
      <c r="F11" s="298">
        <f>D11*E11</f>
        <v>0</v>
      </c>
    </row>
    <row r="12" spans="1:6" ht="18" customHeight="1">
      <c r="A12" s="377">
        <v>3</v>
      </c>
      <c r="B12" s="378" t="s">
        <v>431</v>
      </c>
      <c r="C12" s="333" t="s">
        <v>9</v>
      </c>
      <c r="D12" s="333">
        <v>120</v>
      </c>
      <c r="E12" s="298"/>
      <c r="F12" s="298">
        <f>D12*E12</f>
        <v>0</v>
      </c>
    </row>
    <row r="13" spans="1:6" ht="18" customHeight="1">
      <c r="A13" s="377">
        <v>4</v>
      </c>
      <c r="B13" s="376" t="s">
        <v>434</v>
      </c>
      <c r="C13" s="297" t="s">
        <v>182</v>
      </c>
      <c r="D13" s="297">
        <v>1</v>
      </c>
      <c r="E13" s="288"/>
      <c r="F13" s="298">
        <f>D13*E13</f>
        <v>0</v>
      </c>
    </row>
    <row r="14" spans="1:6" ht="18" customHeight="1">
      <c r="A14" s="377">
        <v>5</v>
      </c>
      <c r="B14" s="376" t="s">
        <v>430</v>
      </c>
      <c r="C14" s="297" t="s">
        <v>10</v>
      </c>
      <c r="D14" s="297">
        <f>20*15*0.4</f>
        <v>120</v>
      </c>
      <c r="E14" s="288"/>
      <c r="F14" s="298">
        <f>D14*E14</f>
        <v>0</v>
      </c>
    </row>
    <row r="15" spans="1:6" ht="11.5" customHeight="1">
      <c r="A15" s="375"/>
      <c r="B15" s="374"/>
      <c r="C15" s="373"/>
      <c r="D15" s="372"/>
      <c r="E15" s="372"/>
      <c r="F15" s="372"/>
    </row>
    <row r="16" spans="1:6" ht="18">
      <c r="A16" s="342"/>
      <c r="B16" s="371" t="s">
        <v>429</v>
      </c>
      <c r="C16" s="308"/>
      <c r="D16" s="309"/>
      <c r="E16" s="309"/>
      <c r="F16" s="311">
        <f>SUM(F10:F14)</f>
        <v>0</v>
      </c>
    </row>
  </sheetData>
  <mergeCells count="1">
    <mergeCell ref="A5:F5"/>
  </mergeCells>
  <pageMargins left="0.7" right="0.7" top="0.75" bottom="0.75" header="0.3" footer="0.3"/>
  <pageSetup paperSize="9"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ABA0-662B-4CF1-A48D-25DCAF1FFDBD}">
  <dimension ref="A1:B21"/>
  <sheetViews>
    <sheetView tabSelected="1" view="pageBreakPreview" zoomScale="90" zoomScaleNormal="100" zoomScaleSheetLayoutView="90" workbookViewId="0">
      <selection activeCell="H10" sqref="H10"/>
    </sheetView>
  </sheetViews>
  <sheetFormatPr baseColWidth="10" defaultRowHeight="14.5"/>
  <cols>
    <col min="1" max="1" width="68.81640625" style="231" customWidth="1"/>
    <col min="2" max="2" width="23.81640625" customWidth="1"/>
  </cols>
  <sheetData>
    <row r="1" spans="1:2" ht="89" customHeight="1" thickBot="1">
      <c r="A1" s="593"/>
      <c r="B1" s="593"/>
    </row>
    <row r="2" spans="1:2" ht="5" hidden="1" customHeight="1" thickBot="1"/>
    <row r="3" spans="1:2" s="29" customFormat="1" ht="25.5" customHeight="1">
      <c r="A3" s="594" t="s">
        <v>662</v>
      </c>
      <c r="B3" s="595"/>
    </row>
    <row r="4" spans="1:2" s="29" customFormat="1" ht="12.75" customHeight="1">
      <c r="A4" s="255"/>
      <c r="B4" s="256"/>
    </row>
    <row r="5" spans="1:2" s="29" customFormat="1" ht="15.5">
      <c r="A5" s="106"/>
      <c r="B5" s="260"/>
    </row>
    <row r="6" spans="1:2" s="29" customFormat="1" ht="27.65" customHeight="1">
      <c r="A6" s="259" t="s">
        <v>661</v>
      </c>
      <c r="B6" s="262">
        <f>'REHA GS DJIROUZON'!F796</f>
        <v>0</v>
      </c>
    </row>
    <row r="7" spans="1:2" s="29" customFormat="1" ht="15.5">
      <c r="A7" s="106"/>
      <c r="B7" s="260"/>
    </row>
    <row r="8" spans="1:2" s="29" customFormat="1" ht="27.65" customHeight="1">
      <c r="A8" s="259" t="s">
        <v>280</v>
      </c>
      <c r="B8" s="262">
        <f>'DQE 3 cls + bureau '!F123</f>
        <v>0</v>
      </c>
    </row>
    <row r="9" spans="1:2" s="29" customFormat="1" ht="24" customHeight="1">
      <c r="A9" s="106"/>
      <c r="B9" s="261"/>
    </row>
    <row r="10" spans="1:2" s="29" customFormat="1" ht="27.65" customHeight="1">
      <c r="A10" s="259" t="s">
        <v>373</v>
      </c>
      <c r="B10" s="262">
        <f>'DQE 3 cls'!F114</f>
        <v>0</v>
      </c>
    </row>
    <row r="11" spans="1:2" s="29" customFormat="1" ht="24" customHeight="1">
      <c r="A11" s="106"/>
      <c r="B11" s="261"/>
    </row>
    <row r="12" spans="1:2" s="29" customFormat="1" ht="27.65" customHeight="1">
      <c r="A12" s="107" t="s">
        <v>281</v>
      </c>
      <c r="B12" s="108">
        <f>'DQE cantine'!E134</f>
        <v>0</v>
      </c>
    </row>
    <row r="13" spans="1:2" s="29" customFormat="1" ht="18.649999999999999" customHeight="1">
      <c r="A13" s="110"/>
      <c r="B13" s="109"/>
    </row>
    <row r="14" spans="1:2" s="29" customFormat="1" ht="27.65" customHeight="1">
      <c r="A14" s="107" t="s">
        <v>705</v>
      </c>
      <c r="B14" s="108">
        <f>'DQE latrine 3 blocs 2 cabines '!F114</f>
        <v>0</v>
      </c>
    </row>
    <row r="15" spans="1:2" s="29" customFormat="1" ht="18.649999999999999" customHeight="1">
      <c r="A15" s="110"/>
      <c r="B15" s="109"/>
    </row>
    <row r="16" spans="1:2" s="29" customFormat="1" ht="27.65" customHeight="1">
      <c r="A16" s="107" t="s">
        <v>413</v>
      </c>
      <c r="B16" s="108">
        <f>'DQE Forage à énergie solaire'!G39</f>
        <v>0</v>
      </c>
    </row>
    <row r="17" spans="1:2" s="29" customFormat="1" ht="18.649999999999999" customHeight="1">
      <c r="A17" s="110"/>
    </row>
    <row r="18" spans="1:2" s="29" customFormat="1" ht="27.65" customHeight="1">
      <c r="A18" s="107" t="s">
        <v>437</v>
      </c>
      <c r="B18" s="108">
        <f>' aménagement aire de jeux'!F16</f>
        <v>0</v>
      </c>
    </row>
    <row r="19" spans="1:2" s="29" customFormat="1" ht="18.649999999999999" customHeight="1" thickBot="1">
      <c r="A19" s="110"/>
      <c r="B19" s="109"/>
    </row>
    <row r="20" spans="1:2" s="29" customFormat="1" ht="25.25" customHeight="1" thickBot="1">
      <c r="A20" s="257" t="s">
        <v>362</v>
      </c>
      <c r="B20" s="258">
        <f>B6+B8+B10+B12+B14+B16+B18</f>
        <v>0</v>
      </c>
    </row>
    <row r="21" spans="1:2" s="29" customFormat="1" ht="15.5">
      <c r="A21" s="105"/>
      <c r="B21" s="103"/>
    </row>
  </sheetData>
  <sheetProtection selectLockedCells="1"/>
  <mergeCells count="2">
    <mergeCell ref="A1:B1"/>
    <mergeCell ref="A3:B3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REHA GS DJIROUZON</vt:lpstr>
      <vt:lpstr>DQE 3 cls + bureau </vt:lpstr>
      <vt:lpstr>DQE 3 cls</vt:lpstr>
      <vt:lpstr>DQE cantine</vt:lpstr>
      <vt:lpstr>DQE latrine 3 blocs 2 cabines </vt:lpstr>
      <vt:lpstr>DQE Forage à énergie solaire</vt:lpstr>
      <vt:lpstr> aménagement aire de jeux</vt:lpstr>
      <vt:lpstr>Recap</vt:lpstr>
      <vt:lpstr>' aménagement aire de jeux'!Zone_d_impression</vt:lpstr>
      <vt:lpstr>'DQE 3 cls'!Zone_d_impression</vt:lpstr>
      <vt:lpstr>'DQE 3 cls + bureau '!Zone_d_impression</vt:lpstr>
      <vt:lpstr>'DQE cantine'!Zone_d_impression</vt:lpstr>
      <vt:lpstr>'DQE Forage à énergie solaire'!Zone_d_impression</vt:lpstr>
      <vt:lpstr>'DQE latrine 3 blocs 2 cabines '!Zone_d_impression</vt:lpstr>
      <vt:lpstr>Recap!Zone_d_impression</vt:lpstr>
      <vt:lpstr>'REHA GS DJIROUZON'!Zone_d_impression</vt:lpstr>
    </vt:vector>
  </TitlesOfParts>
  <Company>PRIVEE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SIEHI  RGER</dc:creator>
  <cp:lastModifiedBy>Koffi Simplice Loukou</cp:lastModifiedBy>
  <cp:lastPrinted>2024-12-12T18:39:48Z</cp:lastPrinted>
  <dcterms:created xsi:type="dcterms:W3CDTF">2007-12-03T22:12:12Z</dcterms:created>
  <dcterms:modified xsi:type="dcterms:W3CDTF">2024-12-18T08:03:01Z</dcterms:modified>
</cp:coreProperties>
</file>