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l_esso_cocoainitiative_org/Documents/Documents/DAO 2025/"/>
    </mc:Choice>
  </mc:AlternateContent>
  <xr:revisionPtr revIDLastSave="0" documentId="8_{8B442968-2661-4294-B3FC-7981B432D1B3}" xr6:coauthVersionLast="47" xr6:coauthVersionMax="47" xr10:uidLastSave="{00000000-0000-0000-0000-000000000000}"/>
  <bookViews>
    <workbookView xWindow="-108" yWindow="-108" windowWidth="23256" windowHeight="12576" tabRatio="961" activeTab="7" xr2:uid="{00000000-000D-0000-FFFF-FFFF00000000}"/>
  </bookViews>
  <sheets>
    <sheet name="REHA 3 cls + bur" sheetId="52" r:id="rId1"/>
    <sheet name="DQE 3 cls + bureau " sheetId="36" r:id="rId2"/>
    <sheet name="DQE Reconst 3 cls" sheetId="50" r:id="rId3"/>
    <sheet name="DQE cantine" sheetId="37" r:id="rId4"/>
    <sheet name="DQE latrine 3 blocs 2 cabines " sheetId="51" r:id="rId5"/>
    <sheet name="DQE Forage à énergie solaire" sheetId="49" r:id="rId6"/>
    <sheet name=" aménagement aire de jeux" sheetId="47" r:id="rId7"/>
    <sheet name="Recap" sheetId="39" r:id="rId8"/>
  </sheets>
  <definedNames>
    <definedName name="capinit" localSheetId="5">#REF!</definedName>
    <definedName name="capinit" localSheetId="4">#REF!</definedName>
    <definedName name="capinit" localSheetId="2">#REF!</definedName>
    <definedName name="capinit" localSheetId="0">#REF!</definedName>
    <definedName name="capinit">#REF!</definedName>
    <definedName name="Cf" localSheetId="5">#REF!</definedName>
    <definedName name="Cf" localSheetId="0">#REF!</definedName>
    <definedName name="Cf">#REF!</definedName>
    <definedName name="cgp" localSheetId="5">#REF!</definedName>
    <definedName name="cgp" localSheetId="0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6">' aménagement aire de jeux'!$A$1:$F$19</definedName>
    <definedName name="_xlnm.Print_Area" localSheetId="1">'DQE 3 cls + bureau '!$A$1:$F$126</definedName>
    <definedName name="_xlnm.Print_Area" localSheetId="3">'DQE cantine'!$A$1:$F$134</definedName>
    <definedName name="_xlnm.Print_Area" localSheetId="5">'DQE Forage à énergie solaire'!$A$1:$G$38</definedName>
    <definedName name="_xlnm.Print_Area" localSheetId="4">'DQE latrine 3 blocs 2 cabines '!$A$1:$F$115</definedName>
    <definedName name="_xlnm.Print_Area" localSheetId="2">'DQE Reconst 3 cls'!$A$1:$F$115</definedName>
    <definedName name="_xlnm.Print_Area" localSheetId="7">Recap!$A$1:$C$23</definedName>
    <definedName name="_xlnm.Print_Area" localSheetId="0">'REHA 3 cls + bur'!$A$1:$F$204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39" l="1"/>
  <c r="B14" i="39"/>
  <c r="B8" i="39"/>
  <c r="B16" i="39"/>
  <c r="D130" i="52"/>
  <c r="F130" i="52" s="1"/>
  <c r="D119" i="52"/>
  <c r="D89" i="52"/>
  <c r="D87" i="52"/>
  <c r="D85" i="52"/>
  <c r="F85" i="52" s="1"/>
  <c r="D84" i="52"/>
  <c r="F84" i="52" s="1"/>
  <c r="D82" i="52"/>
  <c r="F82" i="52" s="1"/>
  <c r="F10" i="52"/>
  <c r="F11" i="52" s="1"/>
  <c r="F14" i="52"/>
  <c r="F17" i="52" s="1"/>
  <c r="F15" i="52"/>
  <c r="F16" i="52"/>
  <c r="F20" i="52"/>
  <c r="F22" i="52"/>
  <c r="D23" i="52"/>
  <c r="F23" i="52"/>
  <c r="F24" i="52"/>
  <c r="D26" i="52"/>
  <c r="F26" i="52" s="1"/>
  <c r="F30" i="52"/>
  <c r="D31" i="52"/>
  <c r="F31" i="52" s="1"/>
  <c r="D32" i="52"/>
  <c r="F32" i="52" s="1"/>
  <c r="F33" i="52"/>
  <c r="D35" i="52"/>
  <c r="F35" i="52" s="1"/>
  <c r="D40" i="52"/>
  <c r="F40" i="52" s="1"/>
  <c r="D41" i="52"/>
  <c r="F41" i="52" s="1"/>
  <c r="D42" i="52"/>
  <c r="F42" i="52" s="1"/>
  <c r="D44" i="52"/>
  <c r="F44" i="52" s="1"/>
  <c r="D46" i="52"/>
  <c r="F46" i="52" s="1"/>
  <c r="D47" i="52"/>
  <c r="F47" i="52" s="1"/>
  <c r="D48" i="52"/>
  <c r="D72" i="52" s="1"/>
  <c r="F72" i="52" s="1"/>
  <c r="F48" i="52"/>
  <c r="F49" i="52"/>
  <c r="D51" i="52"/>
  <c r="F51" i="52" s="1"/>
  <c r="F55" i="52"/>
  <c r="D56" i="52"/>
  <c r="F56" i="52"/>
  <c r="D57" i="52"/>
  <c r="F57" i="52" s="1"/>
  <c r="F58" i="52"/>
  <c r="F59" i="52"/>
  <c r="F60" i="52"/>
  <c r="F61" i="52"/>
  <c r="D64" i="52"/>
  <c r="D65" i="52" s="1"/>
  <c r="F65" i="52" s="1"/>
  <c r="F67" i="52"/>
  <c r="F68" i="52"/>
  <c r="F69" i="52"/>
  <c r="F70" i="52"/>
  <c r="F73" i="52"/>
  <c r="F75" i="52"/>
  <c r="F76" i="52"/>
  <c r="F78" i="52"/>
  <c r="F79" i="52"/>
  <c r="F81" i="52"/>
  <c r="F83" i="52"/>
  <c r="F87" i="52"/>
  <c r="D91" i="52"/>
  <c r="F91" i="52"/>
  <c r="F92" i="52"/>
  <c r="D93" i="52"/>
  <c r="F93" i="52" s="1"/>
  <c r="D94" i="52"/>
  <c r="F94" i="52" s="1"/>
  <c r="D96" i="52"/>
  <c r="F96" i="52" s="1"/>
  <c r="F99" i="52"/>
  <c r="F100" i="52"/>
  <c r="F101" i="52"/>
  <c r="F102" i="52"/>
  <c r="F103" i="52"/>
  <c r="F104" i="52"/>
  <c r="F105" i="52"/>
  <c r="F106" i="52"/>
  <c r="F107" i="52"/>
  <c r="D109" i="52"/>
  <c r="F109" i="52" s="1"/>
  <c r="F110" i="52"/>
  <c r="D111" i="52"/>
  <c r="F111" i="52" s="1"/>
  <c r="F112" i="52"/>
  <c r="F113" i="52"/>
  <c r="F118" i="52"/>
  <c r="F119" i="52"/>
  <c r="F120" i="52"/>
  <c r="F121" i="52"/>
  <c r="F122" i="52"/>
  <c r="F123" i="52"/>
  <c r="F124" i="52"/>
  <c r="F125" i="52"/>
  <c r="F132" i="52"/>
  <c r="D134" i="52"/>
  <c r="F134" i="52" s="1"/>
  <c r="F138" i="52"/>
  <c r="F139" i="52"/>
  <c r="F142" i="52"/>
  <c r="F143" i="52"/>
  <c r="F144" i="52"/>
  <c r="F145" i="52"/>
  <c r="F148" i="52"/>
  <c r="F149" i="52"/>
  <c r="F152" i="52"/>
  <c r="F153" i="52"/>
  <c r="D155" i="52"/>
  <c r="F155" i="52"/>
  <c r="F156" i="52"/>
  <c r="F160" i="52"/>
  <c r="F161" i="52"/>
  <c r="F163" i="52"/>
  <c r="F164" i="52"/>
  <c r="F167" i="52"/>
  <c r="F169" i="52"/>
  <c r="F170" i="52"/>
  <c r="F175" i="52"/>
  <c r="F179" i="52" s="1"/>
  <c r="F176" i="52"/>
  <c r="F177" i="52"/>
  <c r="F178" i="52"/>
  <c r="D182" i="52"/>
  <c r="F182" i="52" s="1"/>
  <c r="D183" i="52"/>
  <c r="F183" i="52"/>
  <c r="D185" i="52"/>
  <c r="F185" i="52"/>
  <c r="D186" i="52"/>
  <c r="F186" i="52" s="1"/>
  <c r="F189" i="52"/>
  <c r="D192" i="52"/>
  <c r="F192" i="52"/>
  <c r="D194" i="52"/>
  <c r="F194" i="52" s="1"/>
  <c r="D195" i="52"/>
  <c r="F195" i="52"/>
  <c r="D66" i="52" l="1"/>
  <c r="F66" i="52" s="1"/>
  <c r="F64" i="52"/>
  <c r="D98" i="52"/>
  <c r="F98" i="52" s="1"/>
  <c r="D97" i="52"/>
  <c r="F97" i="52" s="1"/>
  <c r="F157" i="52"/>
  <c r="F171" i="52"/>
  <c r="F135" i="52"/>
  <c r="D38" i="52"/>
  <c r="F38" i="52" s="1"/>
  <c r="D37" i="52"/>
  <c r="F37" i="52" s="1"/>
  <c r="D36" i="52"/>
  <c r="F36" i="52" s="1"/>
  <c r="D27" i="52"/>
  <c r="F27" i="52" s="1"/>
  <c r="F150" i="52"/>
  <c r="D28" i="52"/>
  <c r="F28" i="52" s="1"/>
  <c r="F126" i="52"/>
  <c r="F196" i="52"/>
  <c r="D88" i="52"/>
  <c r="F88" i="52" s="1"/>
  <c r="D52" i="52"/>
  <c r="F52" i="52" s="1"/>
  <c r="D53" i="52"/>
  <c r="F53" i="52" s="1"/>
  <c r="D9" i="51" l="1"/>
  <c r="F9" i="51"/>
  <c r="F11" i="51" s="1"/>
  <c r="F13" i="51" s="1"/>
  <c r="F10" i="51"/>
  <c r="D19" i="51"/>
  <c r="F19" i="51"/>
  <c r="D21" i="51"/>
  <c r="F21" i="51"/>
  <c r="D22" i="51"/>
  <c r="F22" i="51"/>
  <c r="D23" i="51"/>
  <c r="F23" i="51"/>
  <c r="D24" i="51"/>
  <c r="F24" i="51"/>
  <c r="D26" i="51"/>
  <c r="F26" i="51" s="1"/>
  <c r="D29" i="51"/>
  <c r="F29" i="51"/>
  <c r="D30" i="51"/>
  <c r="F30" i="51"/>
  <c r="D31" i="51"/>
  <c r="F31" i="51"/>
  <c r="D32" i="51"/>
  <c r="F32" i="51"/>
  <c r="D34" i="51"/>
  <c r="F34" i="51" s="1"/>
  <c r="D36" i="51"/>
  <c r="F36" i="51"/>
  <c r="D37" i="51"/>
  <c r="F37" i="51"/>
  <c r="D38" i="51"/>
  <c r="F38" i="51"/>
  <c r="D40" i="51"/>
  <c r="D42" i="51" s="1"/>
  <c r="F42" i="51" s="1"/>
  <c r="F40" i="51"/>
  <c r="D41" i="51"/>
  <c r="F41" i="51"/>
  <c r="D45" i="51"/>
  <c r="F45" i="51"/>
  <c r="F48" i="51"/>
  <c r="F50" i="51"/>
  <c r="F56" i="51"/>
  <c r="F57" i="51"/>
  <c r="F60" i="51"/>
  <c r="F61" i="51" s="1"/>
  <c r="D66" i="51"/>
  <c r="F66" i="51"/>
  <c r="D68" i="51"/>
  <c r="F68" i="51"/>
  <c r="F70" i="51"/>
  <c r="F71" i="51"/>
  <c r="F75" i="51"/>
  <c r="F76" i="51"/>
  <c r="F81" i="51"/>
  <c r="F82" i="51"/>
  <c r="F87" i="51"/>
  <c r="F88" i="51"/>
  <c r="F89" i="51"/>
  <c r="F90" i="51"/>
  <c r="D94" i="51"/>
  <c r="F94" i="51"/>
  <c r="F95" i="51"/>
  <c r="F96" i="51"/>
  <c r="F100" i="51"/>
  <c r="F106" i="51" s="1"/>
  <c r="D101" i="51"/>
  <c r="F101" i="51"/>
  <c r="D103" i="51"/>
  <c r="F103" i="51" s="1"/>
  <c r="D105" i="51"/>
  <c r="F105" i="51" s="1"/>
  <c r="F11" i="50"/>
  <c r="F14" i="50" s="1"/>
  <c r="F12" i="50"/>
  <c r="F13" i="50"/>
  <c r="D19" i="50"/>
  <c r="D27" i="50" s="1"/>
  <c r="F27" i="50" s="1"/>
  <c r="D20" i="50"/>
  <c r="F20" i="50" s="1"/>
  <c r="D21" i="50"/>
  <c r="F21" i="50" s="1"/>
  <c r="D22" i="50"/>
  <c r="F22" i="50" s="1"/>
  <c r="D28" i="50"/>
  <c r="F28" i="50" s="1"/>
  <c r="D31" i="50"/>
  <c r="F31" i="50" s="1"/>
  <c r="D32" i="50"/>
  <c r="F32" i="50"/>
  <c r="D34" i="50"/>
  <c r="F34" i="50"/>
  <c r="D35" i="50"/>
  <c r="F35" i="50"/>
  <c r="D36" i="50"/>
  <c r="F36" i="50" s="1"/>
  <c r="D38" i="50"/>
  <c r="F38" i="50"/>
  <c r="D39" i="50"/>
  <c r="F39" i="50"/>
  <c r="D41" i="50"/>
  <c r="F41" i="50"/>
  <c r="D46" i="50"/>
  <c r="D43" i="50" s="1"/>
  <c r="F46" i="50"/>
  <c r="F48" i="50"/>
  <c r="F49" i="50"/>
  <c r="F50" i="50"/>
  <c r="D52" i="50"/>
  <c r="F52" i="50" s="1"/>
  <c r="D53" i="50"/>
  <c r="F53" i="50"/>
  <c r="D54" i="50"/>
  <c r="F54" i="50"/>
  <c r="D55" i="50"/>
  <c r="F55" i="50" s="1"/>
  <c r="D56" i="50"/>
  <c r="F56" i="50" s="1"/>
  <c r="D57" i="50"/>
  <c r="F57" i="50"/>
  <c r="F59" i="50"/>
  <c r="F60" i="50"/>
  <c r="D67" i="50"/>
  <c r="F67" i="50"/>
  <c r="F68" i="50"/>
  <c r="D74" i="50"/>
  <c r="F74" i="50"/>
  <c r="F79" i="50" s="1"/>
  <c r="F76" i="50"/>
  <c r="D78" i="50"/>
  <c r="F78" i="50"/>
  <c r="F84" i="50"/>
  <c r="F85" i="50"/>
  <c r="F90" i="50"/>
  <c r="F91" i="50"/>
  <c r="F93" i="50"/>
  <c r="D99" i="50"/>
  <c r="F99" i="50"/>
  <c r="D100" i="50"/>
  <c r="F100" i="50" s="1"/>
  <c r="D102" i="50"/>
  <c r="F102" i="50" s="1"/>
  <c r="D104" i="50"/>
  <c r="F104" i="50"/>
  <c r="D106" i="50"/>
  <c r="F106" i="50"/>
  <c r="D107" i="50"/>
  <c r="F107" i="50" s="1"/>
  <c r="F69" i="50" l="1"/>
  <c r="D26" i="50"/>
  <c r="F26" i="50" s="1"/>
  <c r="F108" i="50"/>
  <c r="D30" i="50"/>
  <c r="F30" i="50" s="1"/>
  <c r="D29" i="50"/>
  <c r="D40" i="50" s="1"/>
  <c r="F40" i="50" s="1"/>
  <c r="F94" i="50"/>
  <c r="D44" i="51"/>
  <c r="F44" i="51" s="1"/>
  <c r="D27" i="51"/>
  <c r="F27" i="51" s="1"/>
  <c r="F51" i="51" s="1"/>
  <c r="F53" i="51" s="1"/>
  <c r="F108" i="51" s="1"/>
  <c r="F43" i="50"/>
  <c r="D44" i="50"/>
  <c r="F44" i="50" s="1"/>
  <c r="F23" i="50"/>
  <c r="F29" i="50"/>
  <c r="F61" i="50" l="1"/>
  <c r="F62" i="50" s="1"/>
  <c r="F110" i="50" s="1"/>
  <c r="F112" i="50" s="1"/>
  <c r="F114" i="50" s="1"/>
  <c r="B10" i="39" s="1"/>
  <c r="F110" i="51"/>
  <c r="F114" i="51"/>
  <c r="G4" i="49" l="1"/>
  <c r="G34" i="49" s="1"/>
  <c r="G6" i="49"/>
  <c r="G7" i="49"/>
  <c r="G9" i="49"/>
  <c r="G10" i="49"/>
  <c r="G11" i="49"/>
  <c r="G12" i="49"/>
  <c r="G14" i="49"/>
  <c r="G16" i="49"/>
  <c r="G18" i="49"/>
  <c r="G19" i="49"/>
  <c r="G20" i="49"/>
  <c r="G21" i="49"/>
  <c r="G22" i="49"/>
  <c r="G23" i="49"/>
  <c r="G24" i="49"/>
  <c r="G25" i="49"/>
  <c r="G27" i="49"/>
  <c r="E28" i="49"/>
  <c r="G28" i="49"/>
  <c r="E29" i="49"/>
  <c r="G29" i="49"/>
  <c r="E30" i="49"/>
  <c r="G30" i="49"/>
  <c r="E31" i="49"/>
  <c r="G31" i="49"/>
  <c r="G32" i="49"/>
  <c r="E33" i="49"/>
  <c r="G33" i="49"/>
  <c r="G36" i="49" l="1"/>
  <c r="G38" i="49" s="1"/>
  <c r="B20" i="39" l="1"/>
  <c r="D10" i="47"/>
  <c r="F10" i="47" s="1"/>
  <c r="F11" i="47"/>
  <c r="D13" i="47"/>
  <c r="F12" i="47"/>
  <c r="F13" i="47"/>
  <c r="F15" i="47" l="1"/>
  <c r="F19" i="47" s="1"/>
  <c r="F121" i="36" l="1"/>
  <c r="F105" i="36"/>
  <c r="F104" i="36"/>
  <c r="D104" i="36"/>
  <c r="D102" i="36"/>
  <c r="F102" i="36" s="1"/>
  <c r="F101" i="36"/>
  <c r="F95" i="36" l="1"/>
  <c r="F93" i="36"/>
  <c r="F91" i="36"/>
  <c r="F90" i="36"/>
  <c r="F96" i="36" l="1"/>
  <c r="D36" i="37" l="1"/>
  <c r="D35" i="37"/>
  <c r="F35" i="37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14" i="36" s="1"/>
  <c r="F79" i="36" l="1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74" i="37"/>
  <c r="F76" i="37" s="1"/>
  <c r="F130" i="37" s="1"/>
  <c r="F123" i="36" l="1"/>
  <c r="F132" i="37"/>
  <c r="E134" i="37" s="1"/>
  <c r="B12" i="39" s="1"/>
  <c r="F125" i="36" l="1"/>
  <c r="F89" i="52" l="1"/>
  <c r="F114" i="52" s="1"/>
  <c r="F115" i="52" s="1"/>
  <c r="F198" i="52" s="1"/>
  <c r="F200" i="52" l="1"/>
  <c r="F202" i="52" s="1"/>
  <c r="B6" i="39" s="1"/>
  <c r="B22" i="39" s="1"/>
</calcChain>
</file>

<file path=xl/sharedStrings.xml><?xml version="1.0" encoding="utf-8"?>
<sst xmlns="http://schemas.openxmlformats.org/spreadsheetml/2006/main" count="1491" uniqueCount="688">
  <si>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</si>
  <si>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</si>
  <si>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</si>
  <si>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</si>
  <si>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</si>
  <si>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</si>
  <si>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</si>
  <si>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</si>
  <si>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</si>
  <si>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</si>
  <si>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</si>
  <si>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</si>
  <si>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</si>
  <si>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</si>
  <si>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</si>
  <si>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</si>
  <si>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</si>
  <si>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</si>
  <si>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</si>
  <si>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</si>
  <si>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</si>
  <si>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</si>
  <si>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</si>
  <si>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</si>
  <si>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</si>
  <si>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</si>
  <si>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</si>
  <si>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</si>
  <si>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</si>
  <si>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</si>
  <si>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</si>
  <si>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</si>
  <si>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</si>
  <si>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</si>
  <si>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</si>
  <si>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</si>
  <si>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</si>
  <si>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</si>
  <si>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</si>
  <si>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</si>
  <si>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</si>
  <si>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</si>
  <si>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</si>
  <si>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</si>
  <si>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</si>
  <si>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</si>
  <si>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</si>
  <si>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</si>
  <si>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</si>
  <si>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</si>
  <si>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</si>
  <si>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</si>
  <si>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</si>
  <si>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</si>
  <si>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</si>
  <si>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</si>
  <si>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</si>
  <si>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</si>
  <si>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</si>
  <si>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</si>
  <si>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</si>
  <si>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</si>
  <si>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</si>
  <si>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</si>
  <si>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</si>
  <si>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</si>
  <si>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</si>
  <si>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</si>
  <si>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</si>
  <si>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</si>
  <si>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</si>
  <si>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</si>
  <si>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</si>
  <si>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</si>
  <si>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</si>
  <si>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</si>
  <si>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</si>
  <si>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</si>
  <si>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</si>
  <si>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</si>
  <si>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</si>
  <si>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</si>
  <si>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</si>
  <si>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</si>
  <si>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</si>
  <si>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</si>
  <si>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</si>
  <si>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</si>
  <si>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</si>
  <si>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</si>
  <si>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</si>
  <si>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</si>
  <si>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</si>
  <si>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</si>
  <si>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</si>
  <si>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</si>
  <si>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</si>
  <si>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</si>
  <si>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</si>
  <si>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</si>
  <si>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</si>
  <si>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</si>
  <si>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</si>
  <si>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</si>
  <si>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</si>
  <si>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</si>
  <si>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</si>
  <si>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</si>
  <si>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</si>
  <si>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</si>
  <si>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</si>
  <si>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</si>
  <si>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</si>
  <si>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</si>
  <si>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</si>
  <si>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</si>
  <si>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</si>
  <si>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</si>
  <si>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</si>
  <si>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</si>
  <si>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</si>
  <si>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</si>
  <si>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</si>
  <si>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</si>
  <si>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</si>
  <si>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</si>
  <si>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</si>
  <si>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</si>
  <si>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</si>
  <si>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</si>
  <si>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</si>
  <si>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</si>
  <si>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</si>
  <si>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</si>
  <si>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</si>
  <si>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</si>
  <si>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</si>
  <si>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</si>
  <si>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</si>
  <si>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</si>
  <si>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</si>
  <si>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</si>
  <si>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</si>
  <si>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</si>
  <si>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</si>
  <si>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</si>
  <si>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</si>
  <si>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</si>
  <si>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</si>
  <si>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</si>
  <si>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</si>
  <si>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</si>
  <si>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</si>
  <si>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</si>
  <si>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</si>
  <si>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</si>
  <si>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</si>
  <si>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</si>
  <si>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</si>
  <si>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</si>
  <si>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</si>
  <si>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</si>
  <si>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</si>
  <si>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</si>
  <si>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</si>
  <si>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</si>
  <si>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</si>
  <si>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</si>
  <si>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</si>
  <si>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</si>
  <si>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</si>
  <si>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</si>
  <si>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</si>
  <si>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</si>
  <si>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</si>
  <si>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</si>
  <si>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</si>
  <si>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</si>
  <si>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</si>
  <si>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</si>
  <si>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</si>
  <si>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</si>
  <si>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</si>
  <si>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</si>
  <si>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</si>
  <si>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</si>
  <si>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</si>
  <si>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</si>
  <si>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</si>
  <si>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</si>
  <si>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</si>
  <si>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</si>
  <si>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</si>
  <si>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</si>
  <si>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</si>
  <si>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</si>
  <si>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</si>
  <si>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</si>
  <si>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</si>
  <si>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</si>
  <si>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</si>
  <si>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</si>
  <si>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</si>
  <si>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</si>
  <si>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</si>
  <si>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</si>
  <si>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</si>
  <si>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</si>
  <si>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</si>
  <si>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</si>
  <si>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</si>
  <si>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</si>
  <si>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</si>
  <si>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</si>
  <si>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</si>
  <si>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</si>
  <si>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</si>
  <si>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</si>
  <si>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</si>
  <si>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</si>
  <si>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</si>
  <si>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</si>
  <si>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</si>
  <si>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</si>
  <si>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</si>
  <si>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</si>
  <si>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</si>
  <si>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</si>
  <si>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</si>
  <si>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</si>
  <si>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</si>
  <si>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</si>
  <si>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</si>
  <si>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</si>
  <si>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</si>
  <si>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</si>
  <si>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</si>
  <si>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</si>
  <si>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</si>
  <si>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</si>
  <si>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</si>
  <si>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</si>
  <si>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</si>
  <si>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</si>
  <si>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</si>
  <si>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</si>
  <si>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</si>
  <si>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</si>
  <si>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</si>
  <si>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</si>
  <si>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</si>
  <si>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</si>
  <si>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</si>
  <si>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</si>
  <si>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</si>
  <si>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</si>
  <si>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</si>
  <si>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</si>
  <si>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</si>
  <si>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</si>
  <si>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</si>
  <si>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</si>
  <si>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</si>
  <si>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</si>
  <si>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</si>
  <si>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</si>
  <si>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</si>
  <si>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</si>
  <si>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</si>
  <si>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</si>
  <si>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</si>
  <si>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</si>
  <si>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</si>
  <si>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</si>
  <si>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</si>
  <si>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</si>
  <si>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</si>
  <si>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</si>
  <si>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</si>
  <si>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</si>
  <si>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TROIS SALLES  CLASSES + BUREAU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</si>
  <si>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</si>
  <si>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</si>
  <si>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</si>
  <si>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</si>
  <si>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- Tableau synoptique de 3,00 x 140 pour classes et bureau</t>
  </si>
  <si>
    <t>TOTAL 3 CLASSES + BUREAU</t>
  </si>
  <si>
    <t>TRAVAUX PRELIMINAIRES ET ASSAINISSEMENT</t>
  </si>
  <si>
    <t>1.2.1</t>
  </si>
  <si>
    <t>1.2.2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</si>
  <si>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</si>
  <si>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</si>
  <si>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</si>
  <si>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</si>
  <si>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</si>
  <si>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</si>
  <si>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</si>
  <si>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</si>
  <si>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</si>
  <si>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</si>
  <si>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</si>
  <si>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</si>
  <si>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</si>
  <si>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</si>
  <si>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</si>
  <si>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</si>
  <si>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</si>
  <si>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</si>
  <si>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</si>
  <si>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</si>
  <si>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</si>
  <si>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</si>
  <si>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</si>
  <si>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</si>
  <si>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</si>
  <si>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</si>
  <si>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</si>
  <si>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Panne de 8 x 8cm</t>
  </si>
  <si>
    <t>5.1.1.1</t>
  </si>
  <si>
    <t>5.1.2</t>
  </si>
  <si>
    <t>5.1.2.1</t>
  </si>
  <si>
    <t>5.1.4</t>
  </si>
  <si>
    <t>Acessoires de pose</t>
  </si>
  <si>
    <t>5.1.4.1</t>
  </si>
  <si>
    <t>Tire- fonds complets</t>
  </si>
  <si>
    <t>6.1</t>
  </si>
  <si>
    <t>6.1.1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</si>
  <si>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</si>
  <si>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</si>
  <si>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</si>
  <si>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</si>
  <si>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</si>
  <si>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</si>
  <si>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</si>
  <si>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</si>
  <si>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</si>
  <si>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</si>
  <si>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>9.1.1.2</t>
  </si>
  <si>
    <t xml:space="preserve"> - Peinture glycérophtalique sur portes métalliques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</si>
  <si>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</si>
  <si>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</si>
  <si>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</si>
  <si>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</si>
  <si>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</si>
  <si>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</si>
  <si>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</si>
  <si>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</si>
  <si>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</si>
  <si>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</si>
  <si>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</si>
  <si>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</si>
  <si>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</si>
  <si>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</si>
  <si>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CONSTRUCTION D'UN BATIMENT TROIS CLASSES + BUREAU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</si>
  <si>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</si>
  <si>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</si>
  <si>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</si>
  <si>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</si>
  <si>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</si>
  <si>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 - Dallage au sol en béton armé dosé à 300 kg/m3</t>
  </si>
  <si>
    <t>Tôle onduilée  ht= 40 cm</t>
  </si>
  <si>
    <t>Pour les salles de classe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</si>
  <si>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</si>
  <si>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</si>
  <si>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</si>
  <si>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         * Enduits int. 1 face dosés à 250 kg/m3 </t>
  </si>
  <si>
    <t>2.1.1.5</t>
  </si>
  <si>
    <t xml:space="preserve">Chape ciment lissée  dosé à 300 kg/m3 </t>
  </si>
  <si>
    <t>ASSAINISSEMENT SECONDAIRE</t>
  </si>
  <si>
    <t xml:space="preserve"> * Dim. 60 x 90</t>
  </si>
  <si>
    <t>TOTAL ASSAINISSEMENT SECONDAIRE</t>
  </si>
  <si>
    <t>Coéfficient d'éloignement</t>
  </si>
  <si>
    <t xml:space="preserve">Nettoyage et décapage du terrain 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</si>
  <si>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</si>
  <si>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</si>
  <si>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</si>
  <si>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</si>
  <si>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</si>
  <si>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</si>
  <si>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</si>
  <si>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</si>
  <si>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</si>
  <si>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</si>
  <si>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7.2.2</t>
  </si>
  <si>
    <t>7.2.3</t>
  </si>
  <si>
    <t>7.3.1</t>
  </si>
  <si>
    <t>7.3.2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</si>
  <si>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</si>
  <si>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</si>
  <si>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</si>
  <si>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</si>
  <si>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</si>
  <si>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</si>
  <si>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</si>
  <si>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</si>
  <si>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</si>
  <si>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</si>
  <si>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</si>
  <si>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</si>
  <si>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</si>
  <si>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r>
      <t>N</t>
    </r>
    <r>
      <rPr>
        <b/>
        <sz val="12"/>
        <rFont val="Calibri"/>
        <family val="2"/>
      </rPr>
      <t>°</t>
    </r>
    <r>
      <rPr>
        <b/>
        <sz val="12"/>
        <rFont val="Arial"/>
        <family val="2"/>
      </rPr>
      <t xml:space="preserve"> D'ORD.</t>
    </r>
  </si>
  <si>
    <t>LOT 1 - TRAVAUX PRELIMINAIRES</t>
  </si>
  <si>
    <t xml:space="preserve"> - Installation de chantier</t>
  </si>
  <si>
    <t>f</t>
  </si>
  <si>
    <t>SOUS/TOTAL Travaux Preliminaires</t>
  </si>
  <si>
    <t>LOT 2 - GROS OEUVRES</t>
  </si>
  <si>
    <t xml:space="preserve"> - Fouilles en rigole pour terrasse 50 x 60 cm</t>
  </si>
  <si>
    <t>SOUS/TOTAL  des Terrassements</t>
  </si>
  <si>
    <t>FONDATION (terrasse à créer)</t>
  </si>
  <si>
    <t>2.2.1.2.2</t>
  </si>
  <si>
    <t xml:space="preserve">         * Aciers Tors HA  40 kg/m3</t>
  </si>
  <si>
    <t>2.2.1.2.3</t>
  </si>
  <si>
    <t xml:space="preserve">         * Coffrage  2 m2/m3</t>
  </si>
  <si>
    <t xml:space="preserve"> - Chaînage bas en B.A dosé à 300 kg/m3</t>
  </si>
  <si>
    <t xml:space="preserve"> - Agglos pleins de 15</t>
  </si>
  <si>
    <t xml:space="preserve">         * démolition de dallage </t>
  </si>
  <si>
    <t>2.2.1.6.2</t>
  </si>
  <si>
    <t>2.2.1.6.3</t>
  </si>
  <si>
    <t>2.2.1.6.4</t>
  </si>
  <si>
    <t>2.2.1.7.1</t>
  </si>
  <si>
    <t xml:space="preserve">         * Bordure en agglo 10 ordinaire en mortier de ciment y compris fouilles, pose sur béton de propreté, enduit et peinture en façade arrière</t>
  </si>
  <si>
    <t>2.2.1.7.2</t>
  </si>
  <si>
    <t>2.2.1.7.3</t>
  </si>
  <si>
    <t xml:space="preserve"> - Bac à fleur en briques </t>
  </si>
  <si>
    <t xml:space="preserve">         * Bordure en agglo 10 ordinaire en mortier de ciment y compris fouilles, pose sur béton de propreté, apport de terre et planting de fleur, enduit et peinture en façade avant </t>
  </si>
  <si>
    <t>ELEVATION (réhausse de mur et pignon)</t>
  </si>
  <si>
    <t xml:space="preserve"> - Traitement des fissures</t>
  </si>
  <si>
    <t xml:space="preserve"> - démolition de mur pour poteaux et raidisseurs</t>
  </si>
  <si>
    <t>2.2.2.4.1</t>
  </si>
  <si>
    <t>2.2.2.4.2</t>
  </si>
  <si>
    <t>2.2.2.4.3</t>
  </si>
  <si>
    <t xml:space="preserve"> - Appui de baies en BA dosé à 350 kg/m3</t>
  </si>
  <si>
    <t>2.2.2.6.1</t>
  </si>
  <si>
    <t>2.2.2.6.2</t>
  </si>
  <si>
    <t xml:space="preserve">         * Aciers Tors HA 40 kg/m3</t>
  </si>
  <si>
    <t>2.2.2.6.3</t>
  </si>
  <si>
    <t xml:space="preserve">   en BA dosé à 350 kg/m3</t>
  </si>
  <si>
    <t>2.2.2.7.1</t>
  </si>
  <si>
    <t>2.2.2.7.2</t>
  </si>
  <si>
    <t>2.2.2.7.3</t>
  </si>
  <si>
    <t xml:space="preserve"> - Console en BA dosé à 350 kg/m3</t>
  </si>
  <si>
    <t xml:space="preserve"> * Enduits ext. dosés à 250 kg/m3 sur maçonnerie</t>
  </si>
  <si>
    <t>2.2.2.9.2</t>
  </si>
  <si>
    <t xml:space="preserve"> * Enduits int. dosés à 250 kg/m3 </t>
  </si>
  <si>
    <t>2.2.2.12</t>
  </si>
  <si>
    <t>Démolition de claustras existant et aggrandissement de baie</t>
  </si>
  <si>
    <t>Claustras de 22 x 22x20, type projet BAD dim (250 * 120)</t>
  </si>
  <si>
    <t xml:space="preserve"> - Bibliothèque en maçonnerie (classes) 140 x 210</t>
  </si>
  <si>
    <t>2.3.1.1</t>
  </si>
  <si>
    <t xml:space="preserve"> - Démolition d'escaliers existants</t>
  </si>
  <si>
    <t>2.3.1.2</t>
  </si>
  <si>
    <t xml:space="preserve"> - Remblai  sous les marches</t>
  </si>
  <si>
    <t>2.3.1.3</t>
  </si>
  <si>
    <t>2.3.1.5</t>
  </si>
  <si>
    <t>Les marches en béton dosé à 350 kg/m3</t>
  </si>
  <si>
    <t>2.3.1.5.1</t>
  </si>
  <si>
    <t>2.3.1.5.2</t>
  </si>
  <si>
    <t>2.3.1.6</t>
  </si>
  <si>
    <t>Enduits des marches</t>
  </si>
  <si>
    <t>2.3.2.1</t>
  </si>
  <si>
    <t>2.3.2.2</t>
  </si>
  <si>
    <t>2.3.2.3</t>
  </si>
  <si>
    <t>2.3.2.4</t>
  </si>
  <si>
    <t>Rampe en BA dosé à 350 kg/m3</t>
  </si>
  <si>
    <t>2.3.2.5.1</t>
  </si>
  <si>
    <t>2.3.2.5.2</t>
  </si>
  <si>
    <t>2.3.2.5.3</t>
  </si>
  <si>
    <t xml:space="preserve">Dalettes de couverture pour placard et bibliothèque </t>
  </si>
  <si>
    <t>en BA dosé à 350 kg/m3, ép =5 cm</t>
  </si>
  <si>
    <t xml:space="preserve">         * Coffrage soigné 2 m2/m3</t>
  </si>
  <si>
    <t>Etagères en BA  pour placard et bibliothèque, ép=5cm</t>
  </si>
  <si>
    <t>2.3.6</t>
  </si>
  <si>
    <t>2.3.6.1</t>
  </si>
  <si>
    <t>Démolition des tableau existants</t>
  </si>
  <si>
    <t>F/P de pose craie en planche 15 cm</t>
  </si>
  <si>
    <t>2.3.6.3</t>
  </si>
  <si>
    <t>Tableau synoptique  300 x 140</t>
  </si>
  <si>
    <t xml:space="preserve"> SOUS/TOTAL Gros Oeuvres</t>
  </si>
  <si>
    <t xml:space="preserve"> LOT 3 - CHARPENTE BOIS</t>
  </si>
  <si>
    <t>ens</t>
  </si>
  <si>
    <t>Arbaletrier en planche de 3 x 4 x 20 cm</t>
  </si>
  <si>
    <t>Entrait en planche de  3 x 4 x 20 cm</t>
  </si>
  <si>
    <t>3.1.4</t>
  </si>
  <si>
    <t>Jambette en planche de  3 x 30 cm</t>
  </si>
  <si>
    <t>3.1.5</t>
  </si>
  <si>
    <t>Contre- fiche en planche   4 x 20 cm</t>
  </si>
  <si>
    <t>3.1.6</t>
  </si>
  <si>
    <t>Panne de 6 x 11cm</t>
  </si>
  <si>
    <t>3.1.7</t>
  </si>
  <si>
    <t>SOUS/TOTAL Charpente Bois</t>
  </si>
  <si>
    <t>LOT 4 - COUVERTURE</t>
  </si>
  <si>
    <t>4.1.1.2</t>
  </si>
  <si>
    <t>SOUS/TOTAL Couverture</t>
  </si>
  <si>
    <t>LOT 5 - ETANCHEITE</t>
  </si>
  <si>
    <t xml:space="preserve"> Etanchéité Toiture sur les têtes des tire-fonds</t>
  </si>
  <si>
    <r>
      <t>SOUS/TOTAL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</si>
  <si>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LOT 6 -  MENUISERIE BOIS ET VITRERIE</t>
  </si>
  <si>
    <t xml:space="preserve"> Menuiserie bois</t>
  </si>
  <si>
    <t>Porte bois plein y compris cadre</t>
  </si>
  <si>
    <t>6.1.2.1</t>
  </si>
  <si>
    <t xml:space="preserve">  * 120 x 210</t>
  </si>
  <si>
    <t>6.1.2.2</t>
  </si>
  <si>
    <t xml:space="preserve"> Vitrerie</t>
  </si>
  <si>
    <t>Fenêtre vitrée</t>
  </si>
  <si>
    <t>6.2.1.1</t>
  </si>
  <si>
    <t>Chassis de 6 lames de type  naco, par paire</t>
  </si>
  <si>
    <t>6.2.1.2</t>
  </si>
  <si>
    <t>Verre clair de 6 mm</t>
  </si>
  <si>
    <t>SOUS/TOTAL Menuiserie bois- vitrerie</t>
  </si>
  <si>
    <t>LOT 7 - FAUX PLAFOND EN CP 8 mm</t>
  </si>
  <si>
    <t>Ossature en chevron de 6 x4 pour les classes</t>
  </si>
  <si>
    <t>Ossature en chevron de 6 x4 pour bureau et magasin</t>
  </si>
  <si>
    <t xml:space="preserve">Faux plafond en contre- plaqué de 8 mm, </t>
  </si>
  <si>
    <t>Dépose de faux plafond</t>
  </si>
  <si>
    <t>SOUS/TOTAL Faux Plafond en CP 8 mm</t>
  </si>
  <si>
    <t>8.1.1,1</t>
  </si>
  <si>
    <t>8.2</t>
  </si>
  <si>
    <t>8.2.1</t>
  </si>
  <si>
    <t>8.2.2</t>
  </si>
  <si>
    <t>8.3</t>
  </si>
  <si>
    <t>8.3.1</t>
  </si>
  <si>
    <t xml:space="preserve">Anti - vol pour fenêtre </t>
  </si>
  <si>
    <t>8.3.1.1</t>
  </si>
  <si>
    <t>8.4</t>
  </si>
  <si>
    <t>Portillons metalliques pour cloture</t>
  </si>
  <si>
    <t>8.4.1</t>
  </si>
  <si>
    <t>Portillon sur la galerie      90x150</t>
  </si>
  <si>
    <t>8.4.2</t>
  </si>
  <si>
    <t>Portillon sur la coursive 140x150</t>
  </si>
  <si>
    <t>SOUS/TOTAL Serrurerie</t>
  </si>
  <si>
    <t>LOT 9 - PLOMBRIE - SANITAIRE (sans objet)</t>
  </si>
  <si>
    <t>LOT 10 - ELECTRICITE</t>
  </si>
  <si>
    <t>CIRCUIT ELECTRIQUE</t>
  </si>
  <si>
    <t>10.1.1bis</t>
  </si>
  <si>
    <t xml:space="preserve"> SOUS/TOTAL Electricité</t>
  </si>
  <si>
    <t>lot 10 - PEINTURE</t>
  </si>
  <si>
    <t>11.1</t>
  </si>
  <si>
    <t>11.1.1</t>
  </si>
  <si>
    <t>11.1.2</t>
  </si>
  <si>
    <t>11.2</t>
  </si>
  <si>
    <t>11.2.1</t>
  </si>
  <si>
    <t>11.2.3</t>
  </si>
  <si>
    <t xml:space="preserve"> - Vinyl sur faux plafond en c/p , 2 couches, les classes</t>
  </si>
  <si>
    <t>11.3</t>
  </si>
  <si>
    <t>Vernis marin</t>
  </si>
  <si>
    <t>11.3.1</t>
  </si>
  <si>
    <t xml:space="preserve"> - Vernis marin sur murs extérieurs et intérieurs et claustras 2 couches</t>
  </si>
  <si>
    <t>11.4</t>
  </si>
  <si>
    <t>11.4.1</t>
  </si>
  <si>
    <t>11.5</t>
  </si>
  <si>
    <t>Ardoisine</t>
  </si>
  <si>
    <t>11.5.1</t>
  </si>
  <si>
    <t>SOUS/TOTAL Peinture</t>
  </si>
  <si>
    <t xml:space="preserve">                ASSAINISSEMENT</t>
  </si>
  <si>
    <t xml:space="preserve"> - Gros béton de semelle filante dosé à 250 kg/m3</t>
  </si>
  <si>
    <t xml:space="preserve">         * Béton armé y/c compris chape bouchardée</t>
  </si>
  <si>
    <t xml:space="preserve">         * Armature en treilli de fer diam.6 3 kg/m²</t>
  </si>
  <si>
    <t xml:space="preserve"> - démolition de mur pignon pour réhausse des murs</t>
  </si>
  <si>
    <t xml:space="preserve"> - Agglos creux de 15 d'épaisseur pour réhausse et pignon</t>
  </si>
  <si>
    <t xml:space="preserve"> - Placards en maçonnerie (classes + bureau) 14 x 210</t>
  </si>
  <si>
    <t>Tableau de 6 x 140</t>
  </si>
  <si>
    <t>2.3.6.2</t>
  </si>
  <si>
    <t xml:space="preserve">Tableau de 403 x 140 </t>
  </si>
  <si>
    <t xml:space="preserve"> tôle onduilée  ht= 40 cm</t>
  </si>
  <si>
    <t>Dépose de portes et fenêtres</t>
  </si>
  <si>
    <t>Porte métallique pour bureau</t>
  </si>
  <si>
    <t>Fenêtres et anti - vol métallique</t>
  </si>
  <si>
    <t xml:space="preserve">   * 100 x 100</t>
  </si>
  <si>
    <t>10.1.2 bis</t>
  </si>
  <si>
    <t>Boite de dérivation 196x152</t>
  </si>
  <si>
    <t>10.1.3 bis</t>
  </si>
  <si>
    <t>Boite  ronde encastrable 62x70x40</t>
  </si>
  <si>
    <t>10.1.4 bis</t>
  </si>
  <si>
    <t>Plaque vierge</t>
  </si>
  <si>
    <t>Enduit pantécôte sur tableau en ciment</t>
  </si>
  <si>
    <t>TOTAL GENERAL</t>
  </si>
  <si>
    <t xml:space="preserve">NOMBRE DE SITES 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</si>
  <si>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</si>
  <si>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</si>
  <si>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</si>
  <si>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</si>
  <si>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</si>
  <si>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</si>
  <si>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</si>
  <si>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</si>
  <si>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</si>
  <si>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>Dépose de la charpente et couverture</t>
  </si>
  <si>
    <t>Porte métallique pour classes</t>
  </si>
  <si>
    <t>TOTAL BATIMENT 1: TROIS CLASSES + BUREAU</t>
  </si>
  <si>
    <t>TOTAL HT</t>
  </si>
  <si>
    <t>COEFFICIENT D'ELOIGNEMENT</t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</si>
  <si>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>HT</t>
    </r>
  </si>
  <si>
    <t xml:space="preserve">Peinture glycéro sur maçonnerie et ménuiserie métallique </t>
  </si>
  <si>
    <t>F/P de porte métallique de 2,00 x 1,00 m</t>
  </si>
  <si>
    <t>Mur en élévation en agglos 15 creux de 2,00 m de haut</t>
  </si>
  <si>
    <t>Béton de chainage bas en BA</t>
  </si>
  <si>
    <t>Soubassement en agglos 15 plein</t>
  </si>
  <si>
    <t>Béton de semelle filante en BA</t>
  </si>
  <si>
    <t>Fouille en rigole 40 x 50 cm</t>
  </si>
  <si>
    <t>CLOTURE de 2,00 x 2,00 m</t>
  </si>
  <si>
    <t xml:space="preserve">    u</t>
  </si>
  <si>
    <t>Manifold DN 50 comprenant, un filtre, un compteur,</t>
  </si>
  <si>
    <r>
      <rPr>
        <sz val="9"/>
        <rFont val="Arial"/>
        <family val="2"/>
      </rPr>
      <t>Tête de forage en acier galvanisé DN 250</t>
    </r>
  </si>
  <si>
    <r>
      <rPr>
        <sz val="9"/>
        <rFont val="Arial"/>
        <family val="2"/>
      </rPr>
      <t>Margelle pour la pose de la tête de forage 1x1X0.5 m</t>
    </r>
  </si>
  <si>
    <r>
      <rPr>
        <sz val="9"/>
        <rFont val="Arial"/>
        <family val="2"/>
      </rPr>
      <t>Fourniture et pose d'une colonne d'exhaure en matériau flexible</t>
    </r>
  </si>
  <si>
    <r>
      <rPr>
        <sz val="9"/>
        <rFont val="Arial"/>
        <family val="2"/>
      </rPr>
      <t>Fourniture de câbles titanex</t>
    </r>
  </si>
  <si>
    <r>
      <rPr>
        <sz val="9"/>
        <rFont val="Arial"/>
        <family val="2"/>
      </rPr>
      <t>F/P de panneaux solaires et accessoires de pose</t>
    </r>
  </si>
  <si>
    <r>
      <rPr>
        <sz val="9"/>
        <rFont val="Arial"/>
        <family val="2"/>
      </rPr>
      <t>Pompe immergée de 2 à  3m</t>
    </r>
    <r>
      <rPr>
        <vertAlign val="superscript"/>
        <sz val="6"/>
        <rFont val="Arial"/>
        <family val="2"/>
      </rPr>
      <t>3</t>
    </r>
    <r>
      <rPr>
        <sz val="9"/>
        <rFont val="Arial"/>
        <family val="2"/>
      </rPr>
      <t>/h à 90 m de HMT,</t>
    </r>
  </si>
  <si>
    <t>ft</t>
  </si>
  <si>
    <r>
      <rPr>
        <sz val="9"/>
        <rFont val="Arial"/>
        <family val="2"/>
      </rPr>
      <t>Fourniture  et  pose  d'un  réservoir  de  3 m</t>
    </r>
    <r>
      <rPr>
        <vertAlign val="superscript"/>
        <sz val="6"/>
        <rFont val="Arial"/>
        <family val="2"/>
      </rPr>
      <t xml:space="preserve">3   </t>
    </r>
    <r>
      <rPr>
        <sz val="9"/>
        <rFont val="Arial"/>
        <family val="2"/>
      </rPr>
      <t>sur  support</t>
    </r>
    <r>
      <rPr>
        <sz val="10"/>
        <rFont val="Arial"/>
        <family val="2"/>
      </rPr>
      <t xml:space="preserve"> métallique (voir image en annexe</t>
    </r>
  </si>
  <si>
    <r>
      <rPr>
        <b/>
        <sz val="9"/>
        <rFont val="Arial"/>
        <family val="2"/>
      </rPr>
      <t>POMPE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IMERGEE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HYBRIDE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SOLAIRE</t>
    </r>
  </si>
  <si>
    <r>
      <rPr>
        <sz val="9"/>
        <rFont val="Arial"/>
        <family val="2"/>
      </rPr>
      <t>Analyse physico chimique et Microbiologique de l'eau</t>
    </r>
  </si>
  <si>
    <r>
      <rPr>
        <b/>
        <sz val="9"/>
        <rFont val="Arial"/>
        <family val="2"/>
      </rPr>
      <t>ANALYSE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L'EAU</t>
    </r>
  </si>
  <si>
    <r>
      <rPr>
        <sz val="9"/>
        <rFont val="Arial"/>
        <family val="2"/>
      </rPr>
      <t>Essai de pompage de 24 heures au moins avec remontée</t>
    </r>
  </si>
  <si>
    <r>
      <rPr>
        <b/>
        <sz val="9"/>
        <rFont val="Arial"/>
        <family val="2"/>
      </rPr>
      <t>TRAITEMENT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D'EAU</t>
    </r>
  </si>
  <si>
    <r>
      <rPr>
        <sz val="9"/>
        <rFont val="Arial"/>
        <family val="2"/>
      </rPr>
      <t>Remblai et cimentation en surface sur 5 mètres de profondeur</t>
    </r>
  </si>
  <si>
    <r>
      <rPr>
        <sz val="9"/>
        <rFont val="Arial"/>
        <family val="2"/>
      </rPr>
      <t>Gravillonnage de l'espace annulaire avec du gravier quartzeux roulé de
diamètre 2/4 mm</t>
    </r>
  </si>
  <si>
    <r>
      <rPr>
        <sz val="9"/>
        <rFont val="Arial"/>
        <family val="2"/>
      </rPr>
      <t>Fourniture et pose de pvc Ø 125/140 crépine de qualité alimentaire</t>
    </r>
  </si>
  <si>
    <r>
      <rPr>
        <sz val="9"/>
        <rFont val="Arial"/>
        <family val="2"/>
      </rPr>
      <t>Fourniture et pose de pvc Ø 125/140 plein de qualité alimentaire</t>
    </r>
  </si>
  <si>
    <t>TUBAGES</t>
  </si>
  <si>
    <r>
      <rPr>
        <sz val="9"/>
        <rFont val="Arial"/>
        <family val="2"/>
      </rPr>
      <t>Fonçage dans le socle</t>
    </r>
  </si>
  <si>
    <r>
      <rPr>
        <sz val="9"/>
        <rFont val="Arial"/>
        <family val="2"/>
      </rPr>
      <t>Fonçage dans l'altérite</t>
    </r>
  </si>
  <si>
    <t>FORATION</t>
  </si>
  <si>
    <r>
      <rPr>
        <sz val="9"/>
        <rFont val="Arial"/>
        <family val="2"/>
      </rPr>
      <t>Etude géomorphologique et hydrogéologique pour l’implantation du forage</t>
    </r>
  </si>
  <si>
    <r>
      <rPr>
        <b/>
        <sz val="9"/>
        <rFont val="Arial"/>
        <family val="2"/>
      </rPr>
      <t>ETUDE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GEOPHYSIQUE</t>
    </r>
  </si>
  <si>
    <t>Montant</t>
  </si>
  <si>
    <t>P.U</t>
  </si>
  <si>
    <t>Qté</t>
  </si>
  <si>
    <t>DESIGNATIONS</t>
  </si>
  <si>
    <t>N°</t>
  </si>
  <si>
    <r>
      <t>CONSTRUCTION  D'UN  FORAGE  AVEC ENERGIE SOLAIRE EQUIPE  ET  D'UN  RESERVOIR  DE  3  M</t>
    </r>
    <r>
      <rPr>
        <b/>
        <vertAlign val="superscript"/>
        <sz val="11"/>
        <color theme="0"/>
        <rFont val="Corbel"/>
        <family val="2"/>
      </rPr>
      <t xml:space="preserve">3   </t>
    </r>
    <r>
      <rPr>
        <b/>
        <sz val="11"/>
        <color theme="0"/>
        <rFont val="Corbel"/>
        <family val="2"/>
      </rPr>
      <t xml:space="preserve">POLY  TANK  SUR  UN  SUPPORT METALLIQUE  DE  5  M  DE  HAUT  
</t>
    </r>
  </si>
  <si>
    <t>TOTAL GENERAL 3 CLASSES HT</t>
  </si>
  <si>
    <t>TOTAL 3 CLASSES</t>
  </si>
  <si>
    <t>7.4.2</t>
  </si>
  <si>
    <t>7.4.1</t>
  </si>
  <si>
    <t>7.4</t>
  </si>
  <si>
    <t>Porte métallique  90 x 220 pour classes</t>
  </si>
  <si>
    <t>- Tableau synoptique de 3,00 x 140 pour bueaur et classes</t>
  </si>
  <si>
    <t>Placards et bibliothèques en maçonnerie des classes et bureaux (140 cm x 200 cm) avec dalette et étagères en BA</t>
  </si>
  <si>
    <t xml:space="preserve"> - Agglos creux de 15 cm d'épaisseur en BTC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</si>
  <si>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</si>
  <si>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>MONTANT LATRINE 3 BLOCS DE 2 CABINES HT</t>
  </si>
  <si>
    <t xml:space="preserve">Nombre de blocs </t>
  </si>
  <si>
    <t>Total bloc latrine à 2 cabines à fosse sèche avec dispositif de lave-main</t>
  </si>
  <si>
    <t xml:space="preserve"> - Peinture glycérophtalique sur ouvrage en béton armé</t>
  </si>
  <si>
    <t>- Vernis acrylique 380 d'imprégnation sur BTCS</t>
  </si>
  <si>
    <t>Vernis marin sur mur en BTCS (intérieur et extérieur)</t>
  </si>
  <si>
    <t>Faîence h=1 m (intérieur-extérieur cabine et dégagement)</t>
  </si>
  <si>
    <t xml:space="preserve">Grès cerame 15x15 cm au sol </t>
  </si>
  <si>
    <t xml:space="preserve">Fourniture et installation d'un dispositif de lavage des mains mobile à pédale </t>
  </si>
  <si>
    <t xml:space="preserve">Tube pcv pour ventilation des fosses diam 80 y/c tout accésoire de pose </t>
  </si>
  <si>
    <t xml:space="preserve">Fourniture et pose de wc turque en porcelaine </t>
  </si>
  <si>
    <t>Portes metalliques</t>
  </si>
  <si>
    <t>Etanchéité sur les têtes des tire-fonds</t>
  </si>
  <si>
    <t>Bardage en tôle bac aluzinc 7/10 ht=30</t>
  </si>
  <si>
    <t xml:space="preserve">         * Enduits dosés à 250 kg/m3 </t>
  </si>
  <si>
    <t>- Briques en terre comprimées et stabilisées</t>
  </si>
  <si>
    <t>- Dalettes de fermeture en béton armé ép = 10 cm</t>
  </si>
  <si>
    <t>Remblais de terre autour de la fosse</t>
  </si>
  <si>
    <t xml:space="preserve">Fouille en excavation </t>
  </si>
  <si>
    <t>Fosse de 2,59 m x 2,00 m, profondeur: 3 m</t>
  </si>
  <si>
    <t xml:space="preserve">Construction de 3 blocs de latrine 2 cabines à fosse sèche (FS) en BTCS avec dispositif de lavage de mains </t>
  </si>
  <si>
    <t xml:space="preserve">Porte metallique pour bureau </t>
  </si>
  <si>
    <t>LOT 8 -  SERRURERIE(y compris quincaillerie 1er choix)</t>
  </si>
  <si>
    <t>Pose de faux pland en cp de 8 mm y/c ossature et baguettes</t>
  </si>
  <si>
    <t xml:space="preserve"> - escalier en agglos pleins de 15 d'épaisseur</t>
  </si>
  <si>
    <t xml:space="preserve"> - Chaînage bas et haut pour terrasse dosés à 350 kg/m3</t>
  </si>
  <si>
    <t xml:space="preserve"> - Amorce des poteaux y/c semelles isolées en BA dosé à 300 kg/m3</t>
  </si>
  <si>
    <t xml:space="preserve"> DEVIS QUANTITATIF ET ESTIMATIF DES TRAVAUX DE REHABILITATION DE 3 CLASSES + 1 BUREAU A AVIATION : EPP AVIATION</t>
  </si>
  <si>
    <t>TOTAL REHABILITATION EPP AVIATION</t>
  </si>
  <si>
    <t xml:space="preserve">   RECONSTRUCTION D'UN BATIMENT TROIS CLASSES </t>
  </si>
  <si>
    <t>Installation électrique (connection au réseau, fillerie et appareillage)</t>
  </si>
  <si>
    <t>REHABILITATION DE TROIS SALLES  DE CLASSES + BUREAU</t>
  </si>
  <si>
    <t>CONSTRUCTION DE LATRINE A 6 CABINES (2x3)</t>
  </si>
  <si>
    <t xml:space="preserve"> REHABILITATION   BATIMENT 1: TROIS CLASSES + BUREAU </t>
  </si>
  <si>
    <t>Couverture en tole bac alu colorée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</si>
  <si>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y/c tire-fonds</t>
    </r>
  </si>
  <si>
    <t>Couverture en tôle bac aluzinc colorée ép 030/0,32y/c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</si>
  <si>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 y/c tire-fonds</t>
    </r>
  </si>
  <si>
    <t>Couverture en tole bac aluzinc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</si>
  <si>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y/c tire-fonds</t>
    </r>
  </si>
  <si>
    <t>Tôle bac colorée y/c toutes sujection de pose</t>
  </si>
  <si>
    <t xml:space="preserve">Couverture en tole bac aluzinc  </t>
  </si>
  <si>
    <t>CONSTRUCTION DE TROIS SALLES  CLASSES</t>
  </si>
  <si>
    <t>RECONSTRUCTION DE 3 CLASSES</t>
  </si>
  <si>
    <t>RECAPITULATIF LOT 3 AVIATION</t>
  </si>
  <si>
    <t>Démolition du bâtiment existant, Nettoyage et décapage du terrain à la machine</t>
  </si>
  <si>
    <t>FORAGE A ENERGIE SOLAIRE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</si>
</sst>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  <numFmt numFmtId="168" formatCode="_-* #,##0\ _€_-;\-* #,##0\ _€_-;_-* &quot;-&quot;??\ _€_-;_-@_-"/>
  </numFmts>
  <fonts count="6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b/>
      <u/>
      <sz val="14"/>
      <name val="Arial "/>
    </font>
    <font>
      <b/>
      <sz val="11"/>
      <name val="Comic Sans MS"/>
      <family val="4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8"/>
      <color rgb="FF92D05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vertAlign val="superscript"/>
      <sz val="6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orbel"/>
      <family val="2"/>
    </font>
    <font>
      <b/>
      <vertAlign val="superscript"/>
      <sz val="11"/>
      <color theme="0"/>
      <name val="Corbel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3" fontId="4" fillId="0" borderId="10" xfId="2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1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4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3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8" fillId="0" borderId="16" xfId="0" applyFont="1" applyBorder="1" applyAlignment="1">
      <alignment horizontal="left"/>
    </xf>
    <xf numFmtId="0" fontId="39" fillId="0" borderId="16" xfId="0" applyFont="1" applyBorder="1" applyAlignment="1">
      <alignment wrapText="1"/>
    </xf>
    <xf numFmtId="0" fontId="38" fillId="0" borderId="18" xfId="0" applyFont="1" applyBorder="1" applyAlignment="1">
      <alignment horizontal="center"/>
    </xf>
    <xf numFmtId="2" fontId="38" fillId="0" borderId="18" xfId="0" applyNumberFormat="1" applyFont="1" applyBorder="1" applyAlignment="1">
      <alignment horizontal="center"/>
    </xf>
    <xf numFmtId="3" fontId="38" fillId="0" borderId="18" xfId="0" applyNumberFormat="1" applyFont="1" applyBorder="1" applyAlignment="1" applyProtection="1">
      <alignment horizontal="center"/>
      <protection locked="0"/>
    </xf>
    <xf numFmtId="43" fontId="38" fillId="0" borderId="16" xfId="2" applyFont="1" applyBorder="1" applyAlignment="1" applyProtection="1">
      <alignment horizontal="center"/>
    </xf>
    <xf numFmtId="0" fontId="40" fillId="0" borderId="0" xfId="0" applyFont="1"/>
    <xf numFmtId="0" fontId="38" fillId="0" borderId="16" xfId="0" applyFont="1" applyBorder="1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1" fillId="6" borderId="0" xfId="1" applyFill="1"/>
    <xf numFmtId="2" fontId="5" fillId="0" borderId="0" xfId="1" applyNumberFormat="1" applyFont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168" fontId="6" fillId="9" borderId="1" xfId="1" applyNumberFormat="1" applyFont="1" applyFill="1" applyBorder="1" applyAlignment="1">
      <alignment horizontal="center" vertical="center"/>
    </xf>
    <xf numFmtId="9" fontId="42" fillId="0" borderId="0" xfId="1" applyNumberFormat="1" applyFont="1" applyAlignment="1">
      <alignment horizontal="center" vertical="center"/>
    </xf>
    <xf numFmtId="0" fontId="41" fillId="9" borderId="14" xfId="0" applyFont="1" applyFill="1" applyBorder="1"/>
    <xf numFmtId="49" fontId="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9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9" fontId="22" fillId="9" borderId="0" xfId="0" applyNumberFormat="1" applyFont="1" applyFill="1" applyAlignment="1">
      <alignment horizontal="center" vertical="top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49" fontId="20" fillId="9" borderId="9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0" borderId="18" xfId="0" applyFont="1" applyBorder="1"/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/>
    <xf numFmtId="3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2" fontId="5" fillId="6" borderId="18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8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9" xfId="0" applyFont="1" applyBorder="1"/>
    <xf numFmtId="0" fontId="6" fillId="0" borderId="17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168" fontId="6" fillId="7" borderId="10" xfId="5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2" fontId="6" fillId="7" borderId="10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6" fillId="7" borderId="13" xfId="0" applyFont="1" applyFill="1" applyBorder="1"/>
    <xf numFmtId="3" fontId="6" fillId="7" borderId="10" xfId="0" applyNumberFormat="1" applyFont="1" applyFill="1" applyBorder="1" applyAlignment="1">
      <alignment horizontal="center" vertical="center"/>
    </xf>
    <xf numFmtId="3" fontId="5" fillId="7" borderId="10" xfId="0" applyNumberFormat="1" applyFont="1" applyFill="1" applyBorder="1" applyAlignment="1">
      <alignment horizontal="center" vertical="center"/>
    </xf>
    <xf numFmtId="2" fontId="5" fillId="7" borderId="10" xfId="0" applyNumberFormat="1" applyFont="1" applyFill="1" applyBorder="1" applyAlignment="1">
      <alignment horizontal="center" vertical="center"/>
    </xf>
    <xf numFmtId="0" fontId="6" fillId="7" borderId="14" xfId="0" applyFont="1" applyFill="1" applyBorder="1"/>
    <xf numFmtId="0" fontId="6" fillId="7" borderId="10" xfId="0" applyFont="1" applyFill="1" applyBorder="1"/>
    <xf numFmtId="0" fontId="6" fillId="7" borderId="13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0" fontId="37" fillId="0" borderId="0" xfId="12" applyAlignment="1">
      <alignment horizontal="left" vertical="top"/>
    </xf>
    <xf numFmtId="0" fontId="45" fillId="0" borderId="0" xfId="12" applyFont="1" applyAlignment="1">
      <alignment horizontal="left" vertical="top"/>
    </xf>
    <xf numFmtId="0" fontId="37" fillId="0" borderId="0" xfId="12"/>
    <xf numFmtId="167" fontId="46" fillId="5" borderId="11" xfId="12" applyNumberFormat="1" applyFont="1" applyFill="1" applyBorder="1"/>
    <xf numFmtId="0" fontId="37" fillId="5" borderId="14" xfId="12" applyFill="1" applyBorder="1"/>
    <xf numFmtId="0" fontId="47" fillId="5" borderId="14" xfId="12" applyFont="1" applyFill="1" applyBorder="1" applyAlignment="1">
      <alignment horizontal="center" vertical="center" wrapText="1"/>
    </xf>
    <xf numFmtId="0" fontId="48" fillId="5" borderId="14" xfId="12" applyFont="1" applyFill="1" applyBorder="1" applyAlignment="1">
      <alignment horizontal="center" vertical="center" wrapText="1"/>
    </xf>
    <xf numFmtId="0" fontId="48" fillId="5" borderId="13" xfId="12" applyFont="1" applyFill="1" applyBorder="1" applyAlignment="1">
      <alignment horizontal="center" vertical="center" wrapText="1"/>
    </xf>
    <xf numFmtId="0" fontId="48" fillId="6" borderId="0" xfId="12" applyFont="1" applyFill="1" applyAlignment="1">
      <alignment vertical="center" wrapText="1"/>
    </xf>
    <xf numFmtId="0" fontId="49" fillId="0" borderId="0" xfId="12" applyFont="1" applyAlignment="1">
      <alignment horizontal="center"/>
    </xf>
    <xf numFmtId="0" fontId="37" fillId="0" borderId="0" xfId="12" applyAlignment="1">
      <alignment horizontal="center"/>
    </xf>
    <xf numFmtId="0" fontId="37" fillId="6" borderId="0" xfId="12" applyFill="1"/>
    <xf numFmtId="10" fontId="50" fillId="5" borderId="14" xfId="12" applyNumberFormat="1" applyFont="1" applyFill="1" applyBorder="1" applyAlignment="1">
      <alignment horizontal="center" vertical="center" wrapText="1"/>
    </xf>
    <xf numFmtId="0" fontId="45" fillId="0" borderId="0" xfId="12" applyFont="1" applyAlignment="1">
      <alignment horizontal="left" wrapText="1"/>
    </xf>
    <xf numFmtId="43" fontId="45" fillId="5" borderId="31" xfId="12" applyNumberFormat="1" applyFont="1" applyFill="1" applyBorder="1" applyAlignment="1">
      <alignment horizontal="center" vertical="top" wrapText="1"/>
    </xf>
    <xf numFmtId="1" fontId="48" fillId="0" borderId="31" xfId="12" applyNumberFormat="1" applyFont="1" applyBorder="1" applyAlignment="1">
      <alignment horizontal="center" vertical="top" shrinkToFit="1"/>
    </xf>
    <xf numFmtId="43" fontId="51" fillId="0" borderId="31" xfId="13" applyFont="1" applyFill="1" applyBorder="1" applyAlignment="1">
      <alignment horizontal="center" vertical="top" wrapText="1"/>
    </xf>
    <xf numFmtId="0" fontId="45" fillId="0" borderId="31" xfId="12" applyFont="1" applyBorder="1" applyAlignment="1">
      <alignment horizontal="center" vertical="top" wrapText="1"/>
    </xf>
    <xf numFmtId="1" fontId="52" fillId="6" borderId="31" xfId="12" applyNumberFormat="1" applyFont="1" applyFill="1" applyBorder="1" applyAlignment="1">
      <alignment horizontal="center" vertical="top" shrinkToFit="1"/>
    </xf>
    <xf numFmtId="0" fontId="53" fillId="6" borderId="34" xfId="12" applyFont="1" applyFill="1" applyBorder="1" applyAlignment="1">
      <alignment horizontal="center" vertical="top" wrapText="1"/>
    </xf>
    <xf numFmtId="0" fontId="45" fillId="6" borderId="31" xfId="12" applyFont="1" applyFill="1" applyBorder="1" applyAlignment="1">
      <alignment horizontal="left" vertical="top" wrapText="1"/>
    </xf>
    <xf numFmtId="0" fontId="45" fillId="0" borderId="31" xfId="12" applyFont="1" applyBorder="1" applyAlignment="1">
      <alignment horizontal="left" wrapText="1"/>
    </xf>
    <xf numFmtId="2" fontId="52" fillId="6" borderId="31" xfId="12" applyNumberFormat="1" applyFont="1" applyFill="1" applyBorder="1" applyAlignment="1">
      <alignment horizontal="center" vertical="top" shrinkToFit="1"/>
    </xf>
    <xf numFmtId="1" fontId="52" fillId="0" borderId="31" xfId="12" applyNumberFormat="1" applyFont="1" applyBorder="1" applyAlignment="1">
      <alignment horizontal="center" vertical="top" shrinkToFit="1"/>
    </xf>
    <xf numFmtId="0" fontId="53" fillId="0" borderId="34" xfId="12" applyFont="1" applyBorder="1" applyAlignment="1">
      <alignment horizontal="center" vertical="top" wrapText="1"/>
    </xf>
    <xf numFmtId="0" fontId="54" fillId="6" borderId="31" xfId="12" applyFont="1" applyFill="1" applyBorder="1" applyAlignment="1">
      <alignment horizontal="left" vertical="top" wrapText="1"/>
    </xf>
    <xf numFmtId="0" fontId="53" fillId="0" borderId="34" xfId="12" applyFont="1" applyBorder="1" applyAlignment="1">
      <alignment horizontal="left" vertical="top" wrapText="1"/>
    </xf>
    <xf numFmtId="0" fontId="45" fillId="0" borderId="31" xfId="12" applyFont="1" applyBorder="1" applyAlignment="1">
      <alignment horizontal="left" vertical="top" wrapText="1"/>
    </xf>
    <xf numFmtId="1" fontId="52" fillId="0" borderId="31" xfId="12" applyNumberFormat="1" applyFont="1" applyBorder="1" applyAlignment="1">
      <alignment horizontal="right" vertical="top" indent="1" shrinkToFit="1"/>
    </xf>
    <xf numFmtId="0" fontId="53" fillId="0" borderId="34" xfId="12" applyFont="1" applyBorder="1" applyAlignment="1">
      <alignment horizontal="left" vertical="top" wrapText="1" indent="1"/>
    </xf>
    <xf numFmtId="0" fontId="1" fillId="0" borderId="31" xfId="12" applyFont="1" applyBorder="1" applyAlignment="1">
      <alignment horizontal="left" vertical="top" wrapText="1"/>
    </xf>
    <xf numFmtId="0" fontId="45" fillId="0" borderId="34" xfId="12" applyFont="1" applyBorder="1" applyAlignment="1">
      <alignment horizontal="left" wrapText="1"/>
    </xf>
    <xf numFmtId="1" fontId="57" fillId="0" borderId="31" xfId="12" applyNumberFormat="1" applyFont="1" applyBorder="1" applyAlignment="1">
      <alignment horizontal="center" vertical="top" shrinkToFit="1"/>
    </xf>
    <xf numFmtId="0" fontId="45" fillId="0" borderId="0" xfId="12" applyFont="1" applyAlignment="1">
      <alignment horizontal="left" vertical="center" wrapText="1"/>
    </xf>
    <xf numFmtId="0" fontId="45" fillId="0" borderId="31" xfId="12" applyFont="1" applyBorder="1" applyAlignment="1">
      <alignment horizontal="left" vertical="center" wrapText="1"/>
    </xf>
    <xf numFmtId="0" fontId="56" fillId="0" borderId="31" xfId="12" applyFont="1" applyBorder="1" applyAlignment="1">
      <alignment horizontal="left" vertical="top" wrapText="1"/>
    </xf>
    <xf numFmtId="0" fontId="56" fillId="0" borderId="35" xfId="12" applyFont="1" applyBorder="1" applyAlignment="1">
      <alignment horizontal="center" vertical="top" wrapText="1"/>
    </xf>
    <xf numFmtId="0" fontId="56" fillId="0" borderId="35" xfId="12" applyFont="1" applyBorder="1" applyAlignment="1">
      <alignment horizontal="right" vertical="top" wrapText="1"/>
    </xf>
    <xf numFmtId="0" fontId="56" fillId="0" borderId="36" xfId="12" applyFont="1" applyBorder="1" applyAlignment="1">
      <alignment horizontal="center" vertical="top" wrapText="1"/>
    </xf>
    <xf numFmtId="0" fontId="45" fillId="0" borderId="0" xfId="12" applyFont="1" applyAlignment="1">
      <alignment horizontal="center" vertical="top" wrapText="1"/>
    </xf>
    <xf numFmtId="1" fontId="6" fillId="6" borderId="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66" fontId="6" fillId="10" borderId="10" xfId="2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2" fontId="6" fillId="6" borderId="18" xfId="0" applyNumberFormat="1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6" xfId="0" quotePrefix="1" applyFont="1" applyFill="1" applyBorder="1"/>
    <xf numFmtId="3" fontId="5" fillId="4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2" fontId="32" fillId="0" borderId="10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23" fillId="9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 applyProtection="1">
      <alignment vertical="top"/>
      <protection locked="0"/>
    </xf>
    <xf numFmtId="49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2" xfId="0" applyFont="1" applyBorder="1"/>
    <xf numFmtId="0" fontId="22" fillId="0" borderId="3" xfId="0" applyFont="1" applyBorder="1"/>
    <xf numFmtId="0" fontId="2" fillId="0" borderId="2" xfId="0" applyFont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0" fontId="22" fillId="4" borderId="2" xfId="0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top"/>
    </xf>
    <xf numFmtId="0" fontId="22" fillId="5" borderId="1" xfId="0" applyFont="1" applyFill="1" applyBorder="1" applyAlignment="1">
      <alignment vertical="top" wrapText="1"/>
    </xf>
    <xf numFmtId="0" fontId="22" fillId="5" borderId="3" xfId="0" applyFont="1" applyFill="1" applyBorder="1" applyAlignment="1">
      <alignment horizontal="right" vertical="top" wrapText="1"/>
    </xf>
    <xf numFmtId="0" fontId="2" fillId="6" borderId="0" xfId="0" applyFont="1" applyFill="1"/>
    <xf numFmtId="3" fontId="24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top" wrapText="1"/>
    </xf>
    <xf numFmtId="0" fontId="22" fillId="6" borderId="1" xfId="0" applyFont="1" applyFill="1" applyBorder="1" applyAlignment="1">
      <alignment horizontal="right" vertical="top" wrapText="1"/>
    </xf>
    <xf numFmtId="49" fontId="2" fillId="6" borderId="2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wrapText="1"/>
    </xf>
    <xf numFmtId="49" fontId="22" fillId="0" borderId="3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13" borderId="0" xfId="0" applyFont="1" applyFill="1"/>
    <xf numFmtId="0" fontId="22" fillId="0" borderId="3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16" fontId="22" fillId="0" borderId="3" xfId="0" applyNumberFormat="1" applyFont="1" applyBorder="1" applyAlignment="1">
      <alignment horizontal="center" vertical="center"/>
    </xf>
    <xf numFmtId="3" fontId="24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 applyProtection="1">
      <alignment horizontal="center" vertical="center"/>
      <protection locked="0"/>
    </xf>
    <xf numFmtId="3" fontId="2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right"/>
    </xf>
    <xf numFmtId="0" fontId="23" fillId="10" borderId="3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/>
    <xf numFmtId="49" fontId="2" fillId="0" borderId="3" xfId="0" applyNumberFormat="1" applyFont="1" applyBorder="1"/>
    <xf numFmtId="0" fontId="25" fillId="0" borderId="3" xfId="0" applyFont="1" applyBorder="1"/>
    <xf numFmtId="0" fontId="22" fillId="6" borderId="3" xfId="0" applyFont="1" applyFill="1" applyBorder="1"/>
    <xf numFmtId="0" fontId="2" fillId="0" borderId="3" xfId="0" applyFont="1" applyBorder="1" applyAlignment="1">
      <alignment horizontal="center"/>
    </xf>
    <xf numFmtId="0" fontId="22" fillId="5" borderId="3" xfId="0" applyFont="1" applyFill="1" applyBorder="1" applyAlignment="1">
      <alignment horizontal="right" vertical="top"/>
    </xf>
    <xf numFmtId="3" fontId="2" fillId="10" borderId="1" xfId="0" applyNumberFormat="1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vertical="center" wrapText="1"/>
    </xf>
    <xf numFmtId="3" fontId="5" fillId="6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3" fontId="5" fillId="0" borderId="18" xfId="0" applyNumberFormat="1" applyFont="1" applyBorder="1" applyAlignment="1" applyProtection="1">
      <alignment horizontal="center" vertical="center"/>
      <protection locked="0"/>
    </xf>
    <xf numFmtId="0" fontId="41" fillId="0" borderId="13" xfId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9" fontId="20" fillId="8" borderId="3" xfId="0" applyNumberFormat="1" applyFont="1" applyFill="1" applyBorder="1" applyAlignment="1">
      <alignment horizontal="center" vertical="center" wrapText="1"/>
    </xf>
    <xf numFmtId="49" fontId="20" fillId="8" borderId="4" xfId="0" applyNumberFormat="1" applyFont="1" applyFill="1" applyBorder="1" applyAlignment="1">
      <alignment horizontal="center" vertical="center" wrapText="1"/>
    </xf>
    <xf numFmtId="49" fontId="20" fillId="8" borderId="7" xfId="0" applyNumberFormat="1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58" fillId="9" borderId="13" xfId="12" applyFont="1" applyFill="1" applyBorder="1" applyAlignment="1">
      <alignment horizontal="center" vertical="top" wrapText="1"/>
    </xf>
    <xf numFmtId="0" fontId="58" fillId="9" borderId="14" xfId="12" applyFont="1" applyFill="1" applyBorder="1" applyAlignment="1">
      <alignment horizontal="center" vertical="top" wrapText="1"/>
    </xf>
    <xf numFmtId="0" fontId="58" fillId="9" borderId="11" xfId="12" applyFont="1" applyFill="1" applyBorder="1" applyAlignment="1">
      <alignment horizontal="center" vertical="top" wrapText="1"/>
    </xf>
    <xf numFmtId="0" fontId="45" fillId="5" borderId="34" xfId="12" applyFont="1" applyFill="1" applyBorder="1" applyAlignment="1">
      <alignment horizontal="center" vertical="top" wrapText="1"/>
    </xf>
    <xf numFmtId="0" fontId="45" fillId="5" borderId="33" xfId="12" applyFont="1" applyFill="1" applyBorder="1" applyAlignment="1">
      <alignment horizontal="center" vertical="top" wrapText="1"/>
    </xf>
    <xf numFmtId="0" fontId="45" fillId="5" borderId="32" xfId="12" applyFont="1" applyFill="1" applyBorder="1" applyAlignment="1">
      <alignment horizontal="center" vertical="top" wrapText="1"/>
    </xf>
    <xf numFmtId="0" fontId="36" fillId="0" borderId="0" xfId="12" applyFont="1" applyAlignment="1">
      <alignment horizontal="left" vertical="top" wrapText="1"/>
    </xf>
    <xf numFmtId="0" fontId="45" fillId="0" borderId="0" xfId="12" applyFont="1" applyAlignment="1">
      <alignment horizontal="left" vertical="top" wrapText="1"/>
    </xf>
    <xf numFmtId="0" fontId="44" fillId="0" borderId="0" xfId="12" applyFont="1" applyAlignment="1">
      <alignment horizontal="right" vertical="top" wrapText="1" indent="4"/>
    </xf>
    <xf numFmtId="49" fontId="43" fillId="6" borderId="3" xfId="0" applyNumberFormat="1" applyFont="1" applyFill="1" applyBorder="1" applyAlignment="1">
      <alignment horizontal="center" vertical="center"/>
    </xf>
    <xf numFmtId="49" fontId="24" fillId="6" borderId="4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2257779</xdr:colOff>
      <xdr:row>1</xdr:row>
      <xdr:rowOff>14111</xdr:rowOff>
    </xdr:from>
    <xdr:ext cx="1672166" cy="672198"/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D53A5FA0-D397-40E3-AE9B-F8F1288B4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879" y="198261"/>
          <a:ext cx="1672166" cy="672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244475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2446020</xdr:colOff>
      <xdr:row>0</xdr:row>
      <xdr:rowOff>152400</xdr:rowOff>
    </xdr:from>
    <xdr:ext cx="1997357" cy="802922"/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77CC52-14F7-48F5-92DB-B4042C973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470" y="152400"/>
          <a:ext cx="1997357" cy="80292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97028</xdr:colOff>
      <xdr:row>0</xdr:row>
      <xdr:rowOff>0</xdr:rowOff>
    </xdr:from>
    <xdr:ext cx="660654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B1F4506B-6E8C-41B1-BF50-CCF9E91F2FF9}"/>
            </a:ext>
          </a:extLst>
        </xdr:cNvPr>
        <xdr:cNvSpPr/>
      </xdr:nvSpPr>
      <xdr:spPr>
        <a:xfrm>
          <a:off x="655828" y="0"/>
          <a:ext cx="6606540" cy="10795"/>
        </a:xfrm>
        <a:custGeom>
          <a:avLst/>
          <a:gdLst/>
          <a:ahLst/>
          <a:cxnLst/>
          <a:rect l="0" t="0" r="0" b="0"/>
          <a:pathLst>
            <a:path w="6606540" h="10795">
              <a:moveTo>
                <a:pt x="6606539" y="0"/>
              </a:moveTo>
              <a:lnTo>
                <a:pt x="0" y="0"/>
              </a:lnTo>
              <a:lnTo>
                <a:pt x="0" y="10667"/>
              </a:lnTo>
              <a:lnTo>
                <a:pt x="6606539" y="10667"/>
              </a:lnTo>
              <a:lnTo>
                <a:pt x="6606539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550E-63CE-438A-870D-46E953E6E4BE}">
  <dimension ref="A2:G202"/>
  <sheetViews>
    <sheetView showGridLines="0" view="pageBreakPreview" topLeftCell="A2" zoomScale="90" zoomScaleNormal="100" zoomScaleSheetLayoutView="90" workbookViewId="0">
      <selection activeCell="I2" sqref="I2"/>
    </sheetView>
  </sheetViews>
  <sheetFormatPr baseColWidth="10" defaultColWidth="9.21875" defaultRowHeight="13.2"/>
  <cols>
    <col min="1" max="1" width="10.44140625" style="300" customWidth="1"/>
    <col min="2" max="2" width="68.33203125" style="300" customWidth="1"/>
    <col min="3" max="3" width="7.88671875" style="302" customWidth="1"/>
    <col min="4" max="4" width="9.33203125" style="301" customWidth="1"/>
    <col min="5" max="5" width="12.5546875" style="302" customWidth="1"/>
    <col min="6" max="6" width="14.44140625" style="302" customWidth="1"/>
    <col min="7" max="7" width="5.77734375" style="300" customWidth="1"/>
    <col min="8" max="9" width="9.21875" style="300"/>
    <col min="10" max="10" width="10" style="300" bestFit="1" customWidth="1"/>
    <col min="11" max="16384" width="9.21875" style="300"/>
  </cols>
  <sheetData>
    <row r="2" spans="1:7" ht="64.95" customHeight="1" thickBot="1"/>
    <row r="3" spans="1:7" ht="51.45" customHeight="1" thickBot="1">
      <c r="A3" s="517" t="s">
        <v>668</v>
      </c>
      <c r="B3" s="518"/>
      <c r="C3" s="518"/>
      <c r="D3" s="518"/>
      <c r="E3" s="518"/>
      <c r="F3" s="519"/>
    </row>
    <row r="4" spans="1:7" ht="13.05" customHeight="1" thickBot="1"/>
    <row r="5" spans="1:7" s="4" customFormat="1" ht="22.95" customHeight="1" thickBot="1">
      <c r="B5" s="520" t="s">
        <v>674</v>
      </c>
      <c r="C5" s="521"/>
      <c r="D5" s="521"/>
      <c r="E5" s="522"/>
      <c r="F5" s="368"/>
    </row>
    <row r="6" spans="1:7" s="4" customFormat="1" ht="13.2" customHeight="1" thickBot="1">
      <c r="B6" s="7"/>
      <c r="C6" s="367"/>
      <c r="D6" s="366"/>
      <c r="E6" s="365"/>
      <c r="F6" s="365"/>
    </row>
    <row r="7" spans="1:7" s="10" customFormat="1" ht="33" customHeight="1" thickBot="1">
      <c r="A7" s="386" t="s">
        <v>400</v>
      </c>
      <c r="B7" s="385" t="s">
        <v>70</v>
      </c>
      <c r="C7" s="382" t="s">
        <v>75</v>
      </c>
      <c r="D7" s="384" t="s">
        <v>76</v>
      </c>
      <c r="E7" s="383" t="s">
        <v>77</v>
      </c>
      <c r="F7" s="382" t="s">
        <v>78</v>
      </c>
      <c r="G7" s="364"/>
    </row>
    <row r="8" spans="1:7" s="4" customFormat="1" ht="15.6">
      <c r="A8" s="363">
        <v>1</v>
      </c>
      <c r="B8" s="11" t="s">
        <v>401</v>
      </c>
      <c r="C8" s="336"/>
      <c r="D8" s="345"/>
      <c r="E8" s="334"/>
      <c r="F8" s="344"/>
    </row>
    <row r="9" spans="1:7" s="4" customFormat="1" ht="15.6">
      <c r="A9" s="14"/>
      <c r="B9" s="11" t="s">
        <v>553</v>
      </c>
      <c r="C9" s="336"/>
      <c r="D9" s="335"/>
      <c r="E9" s="334"/>
      <c r="F9" s="334"/>
    </row>
    <row r="10" spans="1:7" s="4" customFormat="1" ht="15.6" thickBot="1">
      <c r="A10" s="15" t="s">
        <v>5</v>
      </c>
      <c r="B10" s="16" t="s">
        <v>402</v>
      </c>
      <c r="C10" s="336" t="s">
        <v>403</v>
      </c>
      <c r="D10" s="335">
        <v>0</v>
      </c>
      <c r="E10" s="355"/>
      <c r="F10" s="334">
        <f>D10*E10</f>
        <v>0</v>
      </c>
    </row>
    <row r="11" spans="1:7" s="4" customFormat="1" ht="16.2" thickBot="1">
      <c r="A11" s="52"/>
      <c r="B11" s="53" t="s">
        <v>404</v>
      </c>
      <c r="C11" s="371"/>
      <c r="D11" s="372"/>
      <c r="E11" s="381"/>
      <c r="F11" s="375">
        <f>F10</f>
        <v>0</v>
      </c>
    </row>
    <row r="12" spans="1:7" s="4" customFormat="1" ht="15.6">
      <c r="A12" s="14">
        <v>2</v>
      </c>
      <c r="B12" s="21" t="s">
        <v>405</v>
      </c>
      <c r="C12" s="349"/>
      <c r="D12" s="341"/>
      <c r="E12" s="340"/>
      <c r="F12" s="334"/>
    </row>
    <row r="13" spans="1:7" s="4" customFormat="1" ht="15">
      <c r="A13" s="15" t="s">
        <v>79</v>
      </c>
      <c r="B13" s="16" t="s">
        <v>80</v>
      </c>
      <c r="C13" s="336"/>
      <c r="D13" s="335"/>
      <c r="E13" s="334"/>
      <c r="F13" s="334"/>
    </row>
    <row r="14" spans="1:7" s="4" customFormat="1" ht="15">
      <c r="A14" s="15" t="s">
        <v>81</v>
      </c>
      <c r="B14" s="16" t="s">
        <v>406</v>
      </c>
      <c r="C14" s="336" t="s">
        <v>10</v>
      </c>
      <c r="D14" s="335">
        <v>0</v>
      </c>
      <c r="E14" s="334"/>
      <c r="F14" s="334">
        <f>D14*E14</f>
        <v>0</v>
      </c>
    </row>
    <row r="15" spans="1:7" s="4" customFormat="1" ht="17.399999999999999" customHeight="1">
      <c r="A15" s="15" t="s">
        <v>82</v>
      </c>
      <c r="B15" s="16" t="s">
        <v>83</v>
      </c>
      <c r="C15" s="336" t="s">
        <v>10</v>
      </c>
      <c r="D15" s="335">
        <v>0</v>
      </c>
      <c r="E15" s="334"/>
      <c r="F15" s="334">
        <f>D15*E15</f>
        <v>0</v>
      </c>
    </row>
    <row r="16" spans="1:7" s="4" customFormat="1" ht="17.399999999999999" customHeight="1" thickBot="1">
      <c r="A16" s="15" t="s">
        <v>84</v>
      </c>
      <c r="B16" s="16" t="s">
        <v>85</v>
      </c>
      <c r="C16" s="336" t="s">
        <v>10</v>
      </c>
      <c r="D16" s="335">
        <v>0</v>
      </c>
      <c r="E16" s="334"/>
      <c r="F16" s="334">
        <f>D16*E16</f>
        <v>0</v>
      </c>
    </row>
    <row r="17" spans="1:6" s="4" customFormat="1" ht="17.399999999999999" customHeight="1" thickBot="1">
      <c r="A17" s="18"/>
      <c r="B17" s="358" t="s">
        <v>407</v>
      </c>
      <c r="C17" s="332"/>
      <c r="D17" s="333"/>
      <c r="E17" s="343"/>
      <c r="F17" s="343">
        <f>SUM(F14:F16)</f>
        <v>0</v>
      </c>
    </row>
    <row r="18" spans="1:6" s="4" customFormat="1" ht="17.399999999999999" customHeight="1">
      <c r="A18" s="24" t="s">
        <v>16</v>
      </c>
      <c r="B18" s="362" t="s">
        <v>292</v>
      </c>
      <c r="C18" s="342"/>
      <c r="D18" s="345"/>
      <c r="E18" s="344"/>
      <c r="F18" s="334"/>
    </row>
    <row r="19" spans="1:6" s="4" customFormat="1" ht="17.399999999999999" customHeight="1">
      <c r="A19" s="26" t="s">
        <v>17</v>
      </c>
      <c r="B19" s="27" t="s">
        <v>408</v>
      </c>
      <c r="C19" s="336"/>
      <c r="D19" s="335"/>
      <c r="E19" s="334"/>
      <c r="F19" s="334"/>
    </row>
    <row r="20" spans="1:6" s="4" customFormat="1" ht="17.399999999999999" customHeight="1">
      <c r="A20" s="28" t="s">
        <v>86</v>
      </c>
      <c r="B20" s="29" t="s">
        <v>87</v>
      </c>
      <c r="C20" s="336" t="s">
        <v>10</v>
      </c>
      <c r="D20" s="335">
        <v>0</v>
      </c>
      <c r="E20" s="334"/>
      <c r="F20" s="334">
        <f>D20*E20</f>
        <v>0</v>
      </c>
    </row>
    <row r="21" spans="1:6" s="4" customFormat="1" ht="17.399999999999999" customHeight="1">
      <c r="A21" s="28" t="s">
        <v>88</v>
      </c>
      <c r="B21" s="29" t="s">
        <v>554</v>
      </c>
      <c r="C21" s="336"/>
      <c r="D21" s="335"/>
      <c r="E21" s="334"/>
      <c r="F21" s="334"/>
    </row>
    <row r="22" spans="1:6" s="4" customFormat="1" ht="17.399999999999999" customHeight="1">
      <c r="A22" s="28" t="s">
        <v>190</v>
      </c>
      <c r="B22" s="29" t="s">
        <v>20</v>
      </c>
      <c r="C22" s="336" t="s">
        <v>10</v>
      </c>
      <c r="D22" s="335">
        <v>0</v>
      </c>
      <c r="E22" s="334"/>
      <c r="F22" s="334">
        <f>D22*E22</f>
        <v>0</v>
      </c>
    </row>
    <row r="23" spans="1:6" s="4" customFormat="1" ht="17.399999999999999" customHeight="1">
      <c r="A23" s="28" t="s">
        <v>409</v>
      </c>
      <c r="B23" s="29" t="s">
        <v>410</v>
      </c>
      <c r="C23" s="336" t="s">
        <v>23</v>
      </c>
      <c r="D23" s="335">
        <f>D22*40</f>
        <v>0</v>
      </c>
      <c r="E23" s="334"/>
      <c r="F23" s="334">
        <f>D23*E23</f>
        <v>0</v>
      </c>
    </row>
    <row r="24" spans="1:6" s="4" customFormat="1" ht="17.399999999999999" customHeight="1">
      <c r="A24" s="28" t="s">
        <v>411</v>
      </c>
      <c r="B24" s="29" t="s">
        <v>412</v>
      </c>
      <c r="C24" s="336" t="s">
        <v>4</v>
      </c>
      <c r="D24" s="335">
        <v>0</v>
      </c>
      <c r="E24" s="334"/>
      <c r="F24" s="334">
        <f>D24*E24</f>
        <v>0</v>
      </c>
    </row>
    <row r="25" spans="1:6" s="4" customFormat="1" ht="17.399999999999999" customHeight="1">
      <c r="A25" s="28" t="s">
        <v>89</v>
      </c>
      <c r="B25" s="29" t="s">
        <v>667</v>
      </c>
      <c r="C25" s="336"/>
      <c r="D25" s="335"/>
      <c r="E25" s="334"/>
      <c r="F25" s="334"/>
    </row>
    <row r="26" spans="1:6" s="4" customFormat="1" ht="17.399999999999999" customHeight="1">
      <c r="A26" s="28" t="s">
        <v>193</v>
      </c>
      <c r="B26" s="29" t="s">
        <v>20</v>
      </c>
      <c r="C26" s="336" t="s">
        <v>10</v>
      </c>
      <c r="D26" s="17">
        <f>(27*0.15*0.15*0.66+9*0.15*0.2*0.66+27*0.4*0.4)*0</f>
        <v>0</v>
      </c>
      <c r="E26" s="334"/>
      <c r="F26" s="334">
        <f>D26*E26</f>
        <v>0</v>
      </c>
    </row>
    <row r="27" spans="1:6" s="4" customFormat="1" ht="17.399999999999999" customHeight="1">
      <c r="A27" s="28" t="s">
        <v>191</v>
      </c>
      <c r="B27" s="29" t="s">
        <v>351</v>
      </c>
      <c r="C27" s="336" t="s">
        <v>23</v>
      </c>
      <c r="D27" s="335">
        <f>D26*80</f>
        <v>0</v>
      </c>
      <c r="E27" s="334"/>
      <c r="F27" s="334">
        <f>D27*E27</f>
        <v>0</v>
      </c>
    </row>
    <row r="28" spans="1:6" s="4" customFormat="1" ht="17.399999999999999" customHeight="1">
      <c r="A28" s="28" t="s">
        <v>194</v>
      </c>
      <c r="B28" s="29" t="s">
        <v>21</v>
      </c>
      <c r="C28" s="336" t="s">
        <v>4</v>
      </c>
      <c r="D28" s="335">
        <f>D26*12</f>
        <v>0</v>
      </c>
      <c r="E28" s="334"/>
      <c r="F28" s="334">
        <f>D28*E28</f>
        <v>0</v>
      </c>
    </row>
    <row r="29" spans="1:6" s="4" customFormat="1" ht="17.399999999999999" customHeight="1">
      <c r="A29" s="28" t="s">
        <v>90</v>
      </c>
      <c r="B29" s="29" t="s">
        <v>413</v>
      </c>
      <c r="C29" s="336"/>
      <c r="D29" s="335"/>
      <c r="E29" s="334"/>
      <c r="F29" s="334"/>
    </row>
    <row r="30" spans="1:6" s="4" customFormat="1" ht="17.399999999999999" customHeight="1">
      <c r="A30" s="28" t="s">
        <v>196</v>
      </c>
      <c r="B30" s="29" t="s">
        <v>20</v>
      </c>
      <c r="C30" s="336" t="s">
        <v>10</v>
      </c>
      <c r="D30" s="335">
        <v>0</v>
      </c>
      <c r="E30" s="334"/>
      <c r="F30" s="334">
        <f>D30*E30</f>
        <v>0</v>
      </c>
    </row>
    <row r="31" spans="1:6" s="4" customFormat="1" ht="15">
      <c r="A31" s="28" t="s">
        <v>197</v>
      </c>
      <c r="B31" s="29" t="s">
        <v>22</v>
      </c>
      <c r="C31" s="336" t="s">
        <v>23</v>
      </c>
      <c r="D31" s="335">
        <f>D30*80</f>
        <v>0</v>
      </c>
      <c r="E31" s="334"/>
      <c r="F31" s="334">
        <f>D31*E31</f>
        <v>0</v>
      </c>
    </row>
    <row r="32" spans="1:6" s="4" customFormat="1" ht="15">
      <c r="A32" s="28" t="s">
        <v>198</v>
      </c>
      <c r="B32" s="29" t="s">
        <v>21</v>
      </c>
      <c r="C32" s="336" t="s">
        <v>4</v>
      </c>
      <c r="D32" s="335">
        <f>D30*12</f>
        <v>0</v>
      </c>
      <c r="E32" s="334"/>
      <c r="F32" s="334">
        <f>D32*E32</f>
        <v>0</v>
      </c>
    </row>
    <row r="33" spans="1:7" s="4" customFormat="1" ht="15">
      <c r="A33" s="28" t="s">
        <v>91</v>
      </c>
      <c r="B33" s="29" t="s">
        <v>414</v>
      </c>
      <c r="C33" s="336" t="s">
        <v>4</v>
      </c>
      <c r="D33" s="335">
        <v>0</v>
      </c>
      <c r="E33" s="334"/>
      <c r="F33" s="334">
        <f>D33*E33</f>
        <v>0</v>
      </c>
    </row>
    <row r="34" spans="1:7" s="30" customFormat="1" ht="15">
      <c r="A34" s="28" t="s">
        <v>92</v>
      </c>
      <c r="B34" s="29" t="s">
        <v>359</v>
      </c>
      <c r="C34" s="336"/>
      <c r="D34" s="335"/>
      <c r="E34" s="334"/>
      <c r="F34" s="334"/>
      <c r="G34" s="4"/>
    </row>
    <row r="35" spans="1:7" s="30" customFormat="1" ht="15">
      <c r="A35" s="28" t="s">
        <v>201</v>
      </c>
      <c r="B35" s="31" t="s">
        <v>415</v>
      </c>
      <c r="C35" s="336" t="s">
        <v>4</v>
      </c>
      <c r="D35" s="335">
        <f>8*8.94*3+31.25*2+8*3.8</f>
        <v>307.45999999999998</v>
      </c>
      <c r="E35" s="334"/>
      <c r="F35" s="334">
        <f>D35*E35</f>
        <v>0</v>
      </c>
      <c r="G35" s="4"/>
    </row>
    <row r="36" spans="1:7" s="4" customFormat="1" ht="15">
      <c r="A36" s="28" t="s">
        <v>416</v>
      </c>
      <c r="B36" s="31" t="s">
        <v>555</v>
      </c>
      <c r="C36" s="360" t="s">
        <v>10</v>
      </c>
      <c r="D36" s="356">
        <f>D35*0.1</f>
        <v>30.745999999999999</v>
      </c>
      <c r="E36" s="355"/>
      <c r="F36" s="334">
        <f>D36*E36</f>
        <v>0</v>
      </c>
    </row>
    <row r="37" spans="1:7" s="4" customFormat="1" ht="15">
      <c r="A37" s="28" t="s">
        <v>417</v>
      </c>
      <c r="B37" s="29" t="s">
        <v>556</v>
      </c>
      <c r="C37" s="336" t="s">
        <v>23</v>
      </c>
      <c r="D37" s="335">
        <f>D35*3</f>
        <v>922.37999999999988</v>
      </c>
      <c r="E37" s="334"/>
      <c r="F37" s="334">
        <f>D37*E37</f>
        <v>0</v>
      </c>
    </row>
    <row r="38" spans="1:7" s="4" customFormat="1" ht="15">
      <c r="A38" s="28" t="s">
        <v>418</v>
      </c>
      <c r="B38" s="29" t="s">
        <v>93</v>
      </c>
      <c r="C38" s="336" t="s">
        <v>4</v>
      </c>
      <c r="D38" s="335">
        <f>D35</f>
        <v>307.45999999999998</v>
      </c>
      <c r="E38" s="334"/>
      <c r="F38" s="334">
        <f>D38*E38</f>
        <v>0</v>
      </c>
    </row>
    <row r="39" spans="1:7" s="4" customFormat="1" ht="15.6">
      <c r="A39" s="28" t="s">
        <v>94</v>
      </c>
      <c r="B39" s="42" t="s">
        <v>95</v>
      </c>
      <c r="C39" s="336"/>
      <c r="D39" s="336"/>
      <c r="E39" s="334"/>
      <c r="F39" s="334"/>
    </row>
    <row r="40" spans="1:7" s="4" customFormat="1" ht="45">
      <c r="A40" s="28" t="s">
        <v>419</v>
      </c>
      <c r="B40" s="34" t="s">
        <v>420</v>
      </c>
      <c r="C40" s="336" t="s">
        <v>4</v>
      </c>
      <c r="D40" s="336">
        <f>31.25*0.44*2</f>
        <v>27.5</v>
      </c>
      <c r="E40" s="334"/>
      <c r="F40" s="334">
        <f>D40*E40</f>
        <v>0</v>
      </c>
    </row>
    <row r="41" spans="1:7" s="4" customFormat="1" ht="15">
      <c r="A41" s="28" t="s">
        <v>421</v>
      </c>
      <c r="B41" s="31" t="s">
        <v>96</v>
      </c>
      <c r="C41" s="336" t="s">
        <v>10</v>
      </c>
      <c r="D41" s="336">
        <f>31.25*0.4*0.4</f>
        <v>5</v>
      </c>
      <c r="E41" s="334"/>
      <c r="F41" s="334">
        <f>D41*E41</f>
        <v>0</v>
      </c>
    </row>
    <row r="42" spans="1:7" s="4" customFormat="1" ht="15">
      <c r="A42" s="28" t="s">
        <v>422</v>
      </c>
      <c r="B42" s="31" t="s">
        <v>97</v>
      </c>
      <c r="C42" s="336" t="s">
        <v>10</v>
      </c>
      <c r="D42" s="336">
        <f>31.25*0.4*0.1</f>
        <v>1.25</v>
      </c>
      <c r="E42" s="334"/>
      <c r="F42" s="334">
        <f>D42*E42</f>
        <v>0</v>
      </c>
    </row>
    <row r="43" spans="1:7" s="4" customFormat="1" ht="15.6">
      <c r="A43" s="28" t="s">
        <v>94</v>
      </c>
      <c r="B43" s="42" t="s">
        <v>423</v>
      </c>
      <c r="C43" s="336"/>
      <c r="D43" s="336"/>
      <c r="E43" s="334"/>
      <c r="F43" s="334"/>
    </row>
    <row r="44" spans="1:7" s="4" customFormat="1" ht="45">
      <c r="A44" s="28" t="s">
        <v>419</v>
      </c>
      <c r="B44" s="34" t="s">
        <v>424</v>
      </c>
      <c r="C44" s="336" t="s">
        <v>4</v>
      </c>
      <c r="D44" s="336">
        <f>31.25*1.5</f>
        <v>46.875</v>
      </c>
      <c r="E44" s="334"/>
      <c r="F44" s="334">
        <f>D44*E44</f>
        <v>0</v>
      </c>
    </row>
    <row r="45" spans="1:7" s="4" customFormat="1" ht="21.6" customHeight="1">
      <c r="A45" s="26" t="s">
        <v>24</v>
      </c>
      <c r="B45" s="27" t="s">
        <v>425</v>
      </c>
      <c r="C45" s="349"/>
      <c r="D45" s="335"/>
      <c r="E45" s="337"/>
      <c r="F45" s="334"/>
    </row>
    <row r="46" spans="1:7" s="4" customFormat="1" ht="15">
      <c r="A46" s="28" t="s">
        <v>373</v>
      </c>
      <c r="B46" s="29" t="s">
        <v>427</v>
      </c>
      <c r="C46" s="336" t="s">
        <v>4</v>
      </c>
      <c r="D46" s="356">
        <f>27*3*0.15*0</f>
        <v>0</v>
      </c>
      <c r="E46" s="334"/>
      <c r="F46" s="334">
        <f>D46*E46</f>
        <v>0</v>
      </c>
    </row>
    <row r="47" spans="1:7" s="4" customFormat="1" ht="15">
      <c r="A47" s="28" t="s">
        <v>373</v>
      </c>
      <c r="B47" s="29" t="s">
        <v>557</v>
      </c>
      <c r="C47" s="336" t="s">
        <v>4</v>
      </c>
      <c r="D47" s="335">
        <f>(2*10*0.66+3*8*0.66)*0</f>
        <v>0</v>
      </c>
      <c r="E47" s="334"/>
      <c r="F47" s="334">
        <f>D47*E47</f>
        <v>0</v>
      </c>
    </row>
    <row r="48" spans="1:7" s="4" customFormat="1" ht="15">
      <c r="A48" s="28" t="s">
        <v>26</v>
      </c>
      <c r="B48" s="29" t="s">
        <v>558</v>
      </c>
      <c r="C48" s="336" t="s">
        <v>4</v>
      </c>
      <c r="D48" s="335">
        <f>(31.25*3*0.44+10*2*0.44+5*8*0.44)*0</f>
        <v>0</v>
      </c>
      <c r="E48" s="334"/>
      <c r="F48" s="334">
        <f>D48*E48</f>
        <v>0</v>
      </c>
    </row>
    <row r="49" spans="1:6" s="4" customFormat="1" ht="15">
      <c r="A49" s="28" t="s">
        <v>26</v>
      </c>
      <c r="B49" s="29" t="s">
        <v>426</v>
      </c>
      <c r="C49" s="336" t="s">
        <v>182</v>
      </c>
      <c r="D49" s="335">
        <v>1</v>
      </c>
      <c r="E49" s="334"/>
      <c r="F49" s="334">
        <f>D49*E49</f>
        <v>0</v>
      </c>
    </row>
    <row r="50" spans="1:6" s="4" customFormat="1" ht="15">
      <c r="A50" s="28" t="s">
        <v>374</v>
      </c>
      <c r="B50" s="29" t="s">
        <v>98</v>
      </c>
      <c r="C50" s="336"/>
      <c r="D50" s="335"/>
      <c r="E50" s="334"/>
      <c r="F50" s="334"/>
    </row>
    <row r="51" spans="1:6" s="4" customFormat="1" ht="15">
      <c r="A51" s="28" t="s">
        <v>428</v>
      </c>
      <c r="B51" s="29" t="s">
        <v>20</v>
      </c>
      <c r="C51" s="336" t="s">
        <v>10</v>
      </c>
      <c r="D51" s="335">
        <f>27*0.2*0.15*4*0</f>
        <v>0</v>
      </c>
      <c r="E51" s="334"/>
      <c r="F51" s="334">
        <f>D51*E51</f>
        <v>0</v>
      </c>
    </row>
    <row r="52" spans="1:6" s="4" customFormat="1" ht="15">
      <c r="A52" s="28" t="s">
        <v>429</v>
      </c>
      <c r="B52" s="29" t="s">
        <v>22</v>
      </c>
      <c r="C52" s="336" t="s">
        <v>23</v>
      </c>
      <c r="D52" s="335">
        <f>D51*80</f>
        <v>0</v>
      </c>
      <c r="E52" s="334"/>
      <c r="F52" s="334">
        <f>D52*E52</f>
        <v>0</v>
      </c>
    </row>
    <row r="53" spans="1:6" s="4" customFormat="1" ht="15">
      <c r="A53" s="28" t="s">
        <v>430</v>
      </c>
      <c r="B53" s="29" t="s">
        <v>21</v>
      </c>
      <c r="C53" s="336" t="s">
        <v>4</v>
      </c>
      <c r="D53" s="335">
        <f>D51*12</f>
        <v>0</v>
      </c>
      <c r="E53" s="334"/>
      <c r="F53" s="334">
        <f>D53*E53</f>
        <v>0</v>
      </c>
    </row>
    <row r="54" spans="1:6" s="4" customFormat="1" ht="15">
      <c r="A54" s="28" t="s">
        <v>27</v>
      </c>
      <c r="B54" s="29" t="s">
        <v>666</v>
      </c>
      <c r="C54" s="336"/>
      <c r="D54" s="335"/>
      <c r="E54" s="334"/>
      <c r="F54" s="334"/>
    </row>
    <row r="55" spans="1:6" s="40" customFormat="1" ht="15">
      <c r="A55" s="86" t="s">
        <v>209</v>
      </c>
      <c r="B55" s="31" t="s">
        <v>20</v>
      </c>
      <c r="C55" s="360" t="s">
        <v>10</v>
      </c>
      <c r="D55" s="356">
        <v>0</v>
      </c>
      <c r="E55" s="355"/>
      <c r="F55" s="355">
        <f t="shared" ref="F55:F61" si="0">D55*E55</f>
        <v>0</v>
      </c>
    </row>
    <row r="56" spans="1:6" s="4" customFormat="1" ht="15">
      <c r="A56" s="28" t="s">
        <v>210</v>
      </c>
      <c r="B56" s="29" t="s">
        <v>22</v>
      </c>
      <c r="C56" s="336" t="s">
        <v>23</v>
      </c>
      <c r="D56" s="335">
        <f>D55*80</f>
        <v>0</v>
      </c>
      <c r="E56" s="334"/>
      <c r="F56" s="334">
        <f t="shared" si="0"/>
        <v>0</v>
      </c>
    </row>
    <row r="57" spans="1:6" s="4" customFormat="1" ht="15">
      <c r="A57" s="28" t="s">
        <v>211</v>
      </c>
      <c r="B57" s="29" t="s">
        <v>100</v>
      </c>
      <c r="C57" s="336" t="s">
        <v>4</v>
      </c>
      <c r="D57" s="335">
        <f>D55*2</f>
        <v>0</v>
      </c>
      <c r="E57" s="334"/>
      <c r="F57" s="334">
        <f t="shared" si="0"/>
        <v>0</v>
      </c>
    </row>
    <row r="58" spans="1:6" s="4" customFormat="1" ht="15" hidden="1">
      <c r="A58" s="28" t="s">
        <v>101</v>
      </c>
      <c r="B58" s="29" t="s">
        <v>431</v>
      </c>
      <c r="C58" s="336"/>
      <c r="D58" s="335"/>
      <c r="E58" s="334"/>
      <c r="F58" s="334">
        <f t="shared" si="0"/>
        <v>0</v>
      </c>
    </row>
    <row r="59" spans="1:6" s="4" customFormat="1" ht="15" hidden="1">
      <c r="A59" s="28" t="s">
        <v>432</v>
      </c>
      <c r="B59" s="29" t="s">
        <v>20</v>
      </c>
      <c r="C59" s="336" t="s">
        <v>10</v>
      </c>
      <c r="D59" s="335">
        <v>0</v>
      </c>
      <c r="E59" s="334"/>
      <c r="F59" s="334">
        <f t="shared" si="0"/>
        <v>0</v>
      </c>
    </row>
    <row r="60" spans="1:6" s="4" customFormat="1" ht="15" hidden="1">
      <c r="A60" s="28" t="s">
        <v>433</v>
      </c>
      <c r="B60" s="29" t="s">
        <v>434</v>
      </c>
      <c r="C60" s="336" t="s">
        <v>23</v>
      </c>
      <c r="D60" s="335">
        <v>0</v>
      </c>
      <c r="E60" s="334"/>
      <c r="F60" s="334">
        <f t="shared" si="0"/>
        <v>0</v>
      </c>
    </row>
    <row r="61" spans="1:6" s="4" customFormat="1" ht="15" hidden="1">
      <c r="A61" s="28" t="s">
        <v>435</v>
      </c>
      <c r="B61" s="29" t="s">
        <v>100</v>
      </c>
      <c r="C61" s="336" t="s">
        <v>4</v>
      </c>
      <c r="D61" s="335">
        <v>0</v>
      </c>
      <c r="E61" s="334"/>
      <c r="F61" s="334">
        <f t="shared" si="0"/>
        <v>0</v>
      </c>
    </row>
    <row r="62" spans="1:6" s="4" customFormat="1" ht="15">
      <c r="A62" s="28" t="s">
        <v>28</v>
      </c>
      <c r="B62" s="29" t="s">
        <v>102</v>
      </c>
      <c r="C62" s="336"/>
      <c r="D62" s="335"/>
      <c r="E62" s="334"/>
      <c r="F62" s="334"/>
    </row>
    <row r="63" spans="1:6" s="4" customFormat="1" ht="15">
      <c r="A63" s="28"/>
      <c r="B63" s="29" t="s">
        <v>436</v>
      </c>
      <c r="C63" s="336"/>
      <c r="D63" s="335"/>
      <c r="E63" s="334"/>
      <c r="F63" s="334"/>
    </row>
    <row r="64" spans="1:6" s="4" customFormat="1" ht="15">
      <c r="A64" s="28" t="s">
        <v>437</v>
      </c>
      <c r="B64" s="29" t="s">
        <v>20</v>
      </c>
      <c r="C64" s="336" t="s">
        <v>10</v>
      </c>
      <c r="D64" s="335">
        <f>(12*2*0.1*0.15+10*3*0.1*0.15)*0</f>
        <v>0</v>
      </c>
      <c r="E64" s="334"/>
      <c r="F64" s="334">
        <f t="shared" ref="F64:F70" si="1">D64*E64</f>
        <v>0</v>
      </c>
    </row>
    <row r="65" spans="1:6" s="4" customFormat="1" ht="15">
      <c r="A65" s="28" t="s">
        <v>438</v>
      </c>
      <c r="B65" s="29" t="s">
        <v>22</v>
      </c>
      <c r="C65" s="336" t="s">
        <v>23</v>
      </c>
      <c r="D65" s="335">
        <f>D64*80</f>
        <v>0</v>
      </c>
      <c r="E65" s="334"/>
      <c r="F65" s="334">
        <f t="shared" si="1"/>
        <v>0</v>
      </c>
    </row>
    <row r="66" spans="1:6" s="4" customFormat="1" ht="15">
      <c r="A66" s="28" t="s">
        <v>439</v>
      </c>
      <c r="B66" s="29" t="s">
        <v>100</v>
      </c>
      <c r="C66" s="336" t="s">
        <v>4</v>
      </c>
      <c r="D66" s="335">
        <f>D64*2</f>
        <v>0</v>
      </c>
      <c r="E66" s="334"/>
      <c r="F66" s="334">
        <f t="shared" si="1"/>
        <v>0</v>
      </c>
    </row>
    <row r="67" spans="1:6" s="4" customFormat="1" ht="15" hidden="1">
      <c r="A67" s="28" t="s">
        <v>29</v>
      </c>
      <c r="B67" s="29" t="s">
        <v>440</v>
      </c>
      <c r="C67" s="336"/>
      <c r="D67" s="335"/>
      <c r="E67" s="334"/>
      <c r="F67" s="334">
        <f t="shared" si="1"/>
        <v>0</v>
      </c>
    </row>
    <row r="68" spans="1:6" s="4" customFormat="1" ht="15" hidden="1">
      <c r="A68" s="28" t="s">
        <v>213</v>
      </c>
      <c r="B68" s="29" t="s">
        <v>20</v>
      </c>
      <c r="C68" s="336" t="s">
        <v>10</v>
      </c>
      <c r="D68" s="335">
        <v>0</v>
      </c>
      <c r="E68" s="334"/>
      <c r="F68" s="334">
        <f t="shared" si="1"/>
        <v>0</v>
      </c>
    </row>
    <row r="69" spans="1:6" s="4" customFormat="1" ht="15" hidden="1">
      <c r="A69" s="28" t="s">
        <v>214</v>
      </c>
      <c r="B69" s="29" t="s">
        <v>22</v>
      </c>
      <c r="C69" s="336" t="s">
        <v>23</v>
      </c>
      <c r="D69" s="335">
        <v>0</v>
      </c>
      <c r="E69" s="334"/>
      <c r="F69" s="334">
        <f t="shared" si="1"/>
        <v>0</v>
      </c>
    </row>
    <row r="70" spans="1:6" s="4" customFormat="1" ht="15.6" hidden="1" thickBot="1">
      <c r="A70" s="35" t="s">
        <v>215</v>
      </c>
      <c r="B70" s="361" t="s">
        <v>100</v>
      </c>
      <c r="C70" s="352" t="s">
        <v>4</v>
      </c>
      <c r="D70" s="335">
        <v>0</v>
      </c>
      <c r="E70" s="334"/>
      <c r="F70" s="334">
        <f t="shared" si="1"/>
        <v>0</v>
      </c>
    </row>
    <row r="71" spans="1:6" s="4" customFormat="1" ht="15">
      <c r="A71" s="28" t="s">
        <v>216</v>
      </c>
      <c r="B71" s="29" t="s">
        <v>33</v>
      </c>
      <c r="C71" s="336"/>
      <c r="D71" s="335"/>
      <c r="E71" s="334"/>
      <c r="F71" s="334"/>
    </row>
    <row r="72" spans="1:6" s="4" customFormat="1" ht="15">
      <c r="A72" s="28" t="s">
        <v>217</v>
      </c>
      <c r="B72" s="29" t="s">
        <v>441</v>
      </c>
      <c r="C72" s="336" t="s">
        <v>4</v>
      </c>
      <c r="D72" s="335">
        <f>D48*2*0.66</f>
        <v>0</v>
      </c>
      <c r="E72" s="334"/>
      <c r="F72" s="334">
        <f>D72*E72</f>
        <v>0</v>
      </c>
    </row>
    <row r="73" spans="1:6" s="4" customFormat="1" ht="15">
      <c r="A73" s="28" t="s">
        <v>442</v>
      </c>
      <c r="B73" s="29" t="s">
        <v>443</v>
      </c>
      <c r="C73" s="336" t="s">
        <v>4</v>
      </c>
      <c r="D73" s="335">
        <v>0</v>
      </c>
      <c r="E73" s="334"/>
      <c r="F73" s="334">
        <f>D73*E73</f>
        <v>0</v>
      </c>
    </row>
    <row r="74" spans="1:6" s="4" customFormat="1" ht="15">
      <c r="A74" s="28" t="s">
        <v>444</v>
      </c>
      <c r="B74" s="29" t="s">
        <v>103</v>
      </c>
      <c r="C74" s="336"/>
      <c r="D74" s="335"/>
      <c r="E74" s="334"/>
      <c r="F74" s="334"/>
    </row>
    <row r="75" spans="1:6" s="4" customFormat="1" ht="15">
      <c r="A75" s="28"/>
      <c r="B75" s="29" t="s">
        <v>445</v>
      </c>
      <c r="C75" s="336" t="s">
        <v>4</v>
      </c>
      <c r="D75" s="335">
        <v>0</v>
      </c>
      <c r="E75" s="334"/>
      <c r="F75" s="334">
        <f>D75*E75</f>
        <v>0</v>
      </c>
    </row>
    <row r="76" spans="1:6" s="4" customFormat="1" ht="17.399999999999999">
      <c r="A76" s="28" t="s">
        <v>444</v>
      </c>
      <c r="B76" s="29" t="s">
        <v>446</v>
      </c>
      <c r="C76" s="336" t="s">
        <v>104</v>
      </c>
      <c r="D76" s="335">
        <v>0</v>
      </c>
      <c r="E76" s="334"/>
      <c r="F76" s="334">
        <f>D76*E76</f>
        <v>0</v>
      </c>
    </row>
    <row r="77" spans="1:6" s="4" customFormat="1" ht="15.6">
      <c r="A77" s="26" t="s">
        <v>6</v>
      </c>
      <c r="B77" s="27" t="s">
        <v>34</v>
      </c>
      <c r="C77" s="336"/>
      <c r="D77" s="335"/>
      <c r="E77" s="334"/>
      <c r="F77" s="334"/>
    </row>
    <row r="78" spans="1:6" s="4" customFormat="1" ht="15">
      <c r="A78" s="28" t="s">
        <v>221</v>
      </c>
      <c r="B78" s="29" t="s">
        <v>559</v>
      </c>
      <c r="C78" s="336" t="s">
        <v>9</v>
      </c>
      <c r="D78" s="335">
        <v>4</v>
      </c>
      <c r="E78" s="334"/>
      <c r="F78" s="334">
        <f>D78*E78</f>
        <v>0</v>
      </c>
    </row>
    <row r="79" spans="1:6" s="4" customFormat="1" ht="15">
      <c r="A79" s="28" t="s">
        <v>221</v>
      </c>
      <c r="B79" s="29" t="s">
        <v>447</v>
      </c>
      <c r="C79" s="336" t="s">
        <v>9</v>
      </c>
      <c r="D79" s="335">
        <v>3</v>
      </c>
      <c r="E79" s="334"/>
      <c r="F79" s="334">
        <f>D79*E79</f>
        <v>0</v>
      </c>
    </row>
    <row r="80" spans="1:6" s="4" customFormat="1" ht="15.6">
      <c r="A80" s="28" t="s">
        <v>30</v>
      </c>
      <c r="B80" s="27" t="s">
        <v>35</v>
      </c>
      <c r="C80" s="336"/>
      <c r="D80" s="335"/>
      <c r="E80" s="334"/>
      <c r="F80" s="334"/>
    </row>
    <row r="81" spans="1:6" s="4" customFormat="1" ht="15">
      <c r="A81" s="28" t="s">
        <v>448</v>
      </c>
      <c r="B81" s="29" t="s">
        <v>449</v>
      </c>
      <c r="C81" s="336" t="s">
        <v>182</v>
      </c>
      <c r="D81" s="335">
        <v>0</v>
      </c>
      <c r="E81" s="334"/>
      <c r="F81" s="334">
        <f>D81*E81</f>
        <v>0</v>
      </c>
    </row>
    <row r="82" spans="1:6" s="4" customFormat="1" ht="15">
      <c r="A82" s="28" t="s">
        <v>448</v>
      </c>
      <c r="B82" s="29" t="s">
        <v>105</v>
      </c>
      <c r="C82" s="336" t="s">
        <v>10</v>
      </c>
      <c r="D82" s="359">
        <f>3*3.5*0.4*0</f>
        <v>0</v>
      </c>
      <c r="E82" s="334"/>
      <c r="F82" s="334">
        <f>D82*E82</f>
        <v>0</v>
      </c>
    </row>
    <row r="83" spans="1:6" s="4" customFormat="1" ht="15">
      <c r="A83" s="28" t="s">
        <v>450</v>
      </c>
      <c r="B83" s="16" t="s">
        <v>451</v>
      </c>
      <c r="C83" s="336" t="s">
        <v>10</v>
      </c>
      <c r="D83" s="359">
        <v>0</v>
      </c>
      <c r="E83" s="334"/>
      <c r="F83" s="334">
        <f>D83*E83</f>
        <v>0</v>
      </c>
    </row>
    <row r="84" spans="1:6" s="4" customFormat="1" ht="15">
      <c r="A84" s="28" t="s">
        <v>452</v>
      </c>
      <c r="B84" s="29" t="s">
        <v>87</v>
      </c>
      <c r="C84" s="336" t="s">
        <v>10</v>
      </c>
      <c r="D84" s="359">
        <f>3.5*0.4*0.05*0</f>
        <v>0</v>
      </c>
      <c r="E84" s="334"/>
      <c r="F84" s="334">
        <f>D84*E84</f>
        <v>0</v>
      </c>
    </row>
    <row r="85" spans="1:6" s="4" customFormat="1" ht="15">
      <c r="A85" s="28" t="s">
        <v>223</v>
      </c>
      <c r="B85" s="29" t="s">
        <v>665</v>
      </c>
      <c r="C85" s="336" t="s">
        <v>4</v>
      </c>
      <c r="D85" s="359">
        <f>1.8*0.44*3*0</f>
        <v>0</v>
      </c>
      <c r="E85" s="334"/>
      <c r="F85" s="334">
        <f>D85*E85</f>
        <v>0</v>
      </c>
    </row>
    <row r="86" spans="1:6" s="4" customFormat="1" ht="15">
      <c r="A86" s="28" t="s">
        <v>453</v>
      </c>
      <c r="B86" s="29" t="s">
        <v>454</v>
      </c>
      <c r="C86" s="336"/>
      <c r="D86" s="359"/>
      <c r="E86" s="334"/>
      <c r="F86" s="334"/>
    </row>
    <row r="87" spans="1:6" s="4" customFormat="1" ht="15">
      <c r="A87" s="28" t="s">
        <v>455</v>
      </c>
      <c r="B87" s="29" t="s">
        <v>20</v>
      </c>
      <c r="C87" s="336" t="s">
        <v>10</v>
      </c>
      <c r="D87" s="359">
        <f>3*0.3*0.16*1.2*0</f>
        <v>0</v>
      </c>
      <c r="E87" s="334"/>
      <c r="F87" s="334">
        <f>D87*E87</f>
        <v>0</v>
      </c>
    </row>
    <row r="88" spans="1:6" s="4" customFormat="1" ht="15">
      <c r="A88" s="28" t="s">
        <v>456</v>
      </c>
      <c r="B88" s="29" t="s">
        <v>100</v>
      </c>
      <c r="C88" s="336" t="s">
        <v>4</v>
      </c>
      <c r="D88" s="359">
        <f>D87*2</f>
        <v>0</v>
      </c>
      <c r="E88" s="334"/>
      <c r="F88" s="334">
        <f>D88*E88</f>
        <v>0</v>
      </c>
    </row>
    <row r="89" spans="1:6" s="4" customFormat="1" ht="15">
      <c r="A89" s="28" t="s">
        <v>457</v>
      </c>
      <c r="B89" s="29" t="s">
        <v>458</v>
      </c>
      <c r="C89" s="336" t="s">
        <v>4</v>
      </c>
      <c r="D89" s="359">
        <f>0.42*3.5*0</f>
        <v>0</v>
      </c>
      <c r="E89" s="334"/>
      <c r="F89" s="334">
        <f>D89*E89</f>
        <v>0</v>
      </c>
    </row>
    <row r="90" spans="1:6" s="4" customFormat="1" ht="15.6">
      <c r="A90" s="28" t="s">
        <v>31</v>
      </c>
      <c r="B90" s="27" t="s">
        <v>36</v>
      </c>
      <c r="C90" s="336"/>
      <c r="D90" s="335"/>
      <c r="E90" s="334"/>
      <c r="F90" s="334"/>
    </row>
    <row r="91" spans="1:6" s="4" customFormat="1" ht="15">
      <c r="A91" s="28" t="s">
        <v>459</v>
      </c>
      <c r="B91" s="29" t="s">
        <v>105</v>
      </c>
      <c r="C91" s="336" t="s">
        <v>10</v>
      </c>
      <c r="D91" s="335">
        <f>(2*2+1.2)*0.4*0.4</f>
        <v>0.83200000000000007</v>
      </c>
      <c r="E91" s="334"/>
      <c r="F91" s="334">
        <f>D91*E91</f>
        <v>0</v>
      </c>
    </row>
    <row r="92" spans="1:6" s="4" customFormat="1" ht="15">
      <c r="A92" s="28" t="s">
        <v>460</v>
      </c>
      <c r="B92" s="16" t="s">
        <v>107</v>
      </c>
      <c r="C92" s="336" t="s">
        <v>10</v>
      </c>
      <c r="D92" s="335">
        <v>0</v>
      </c>
      <c r="E92" s="334"/>
      <c r="F92" s="334">
        <f>D92*E92</f>
        <v>0</v>
      </c>
    </row>
    <row r="93" spans="1:6" s="4" customFormat="1" ht="15">
      <c r="A93" s="28" t="s">
        <v>461</v>
      </c>
      <c r="B93" s="29" t="s">
        <v>87</v>
      </c>
      <c r="C93" s="336" t="s">
        <v>10</v>
      </c>
      <c r="D93" s="335">
        <f>(4+1.2)*0.4*0.05</f>
        <v>0.10400000000000001</v>
      </c>
      <c r="E93" s="334"/>
      <c r="F93" s="334">
        <f>D93*E93</f>
        <v>0</v>
      </c>
    </row>
    <row r="94" spans="1:6" s="4" customFormat="1" ht="15">
      <c r="A94" s="28" t="s">
        <v>462</v>
      </c>
      <c r="B94" s="29" t="s">
        <v>106</v>
      </c>
      <c r="C94" s="336" t="s">
        <v>4</v>
      </c>
      <c r="D94" s="335">
        <f>2*2*0.4</f>
        <v>1.6</v>
      </c>
      <c r="E94" s="334"/>
      <c r="F94" s="334">
        <f>D94*E94</f>
        <v>0</v>
      </c>
    </row>
    <row r="95" spans="1:6" s="4" customFormat="1" ht="15">
      <c r="A95" s="28" t="s">
        <v>32</v>
      </c>
      <c r="B95" s="29" t="s">
        <v>463</v>
      </c>
      <c r="C95" s="336"/>
      <c r="D95" s="335"/>
      <c r="E95" s="334"/>
      <c r="F95" s="334"/>
    </row>
    <row r="96" spans="1:6" s="4" customFormat="1" ht="15">
      <c r="A96" s="28" t="s">
        <v>464</v>
      </c>
      <c r="B96" s="29" t="s">
        <v>20</v>
      </c>
      <c r="C96" s="336" t="s">
        <v>10</v>
      </c>
      <c r="D96" s="335">
        <f>2*2.2*0.15</f>
        <v>0.66</v>
      </c>
      <c r="E96" s="334"/>
      <c r="F96" s="334">
        <f t="shared" ref="F96:F107" si="2">D96*E96</f>
        <v>0</v>
      </c>
    </row>
    <row r="97" spans="1:6" s="4" customFormat="1" ht="15">
      <c r="A97" s="28" t="s">
        <v>465</v>
      </c>
      <c r="B97" s="29" t="s">
        <v>300</v>
      </c>
      <c r="C97" s="336" t="s">
        <v>23</v>
      </c>
      <c r="D97" s="335">
        <f>D96*12</f>
        <v>7.92</v>
      </c>
      <c r="E97" s="334"/>
      <c r="F97" s="334">
        <f t="shared" si="2"/>
        <v>0</v>
      </c>
    </row>
    <row r="98" spans="1:6" s="4" customFormat="1" ht="15">
      <c r="A98" s="28" t="s">
        <v>466</v>
      </c>
      <c r="B98" s="29" t="s">
        <v>100</v>
      </c>
      <c r="C98" s="336" t="s">
        <v>4</v>
      </c>
      <c r="D98" s="335">
        <f>D96*2</f>
        <v>1.32</v>
      </c>
      <c r="E98" s="334"/>
      <c r="F98" s="334">
        <f t="shared" si="2"/>
        <v>0</v>
      </c>
    </row>
    <row r="99" spans="1:6" s="4" customFormat="1" ht="15.6" hidden="1">
      <c r="A99" s="28" t="s">
        <v>108</v>
      </c>
      <c r="B99" s="27" t="s">
        <v>467</v>
      </c>
      <c r="C99" s="336"/>
      <c r="D99" s="335"/>
      <c r="E99" s="334"/>
      <c r="F99" s="334">
        <f t="shared" si="2"/>
        <v>0</v>
      </c>
    </row>
    <row r="100" spans="1:6" s="4" customFormat="1" ht="15.6" hidden="1">
      <c r="A100" s="28"/>
      <c r="B100" s="27" t="s">
        <v>468</v>
      </c>
      <c r="C100" s="336"/>
      <c r="D100" s="335"/>
      <c r="E100" s="334"/>
      <c r="F100" s="334">
        <f t="shared" si="2"/>
        <v>0</v>
      </c>
    </row>
    <row r="101" spans="1:6" s="4" customFormat="1" ht="15" hidden="1">
      <c r="A101" s="28" t="s">
        <v>109</v>
      </c>
      <c r="B101" s="29" t="s">
        <v>20</v>
      </c>
      <c r="C101" s="336" t="s">
        <v>10</v>
      </c>
      <c r="D101" s="335">
        <v>0</v>
      </c>
      <c r="E101" s="334"/>
      <c r="F101" s="334">
        <f t="shared" si="2"/>
        <v>0</v>
      </c>
    </row>
    <row r="102" spans="1:6" s="4" customFormat="1" ht="15" hidden="1">
      <c r="A102" s="28" t="s">
        <v>110</v>
      </c>
      <c r="B102" s="29" t="s">
        <v>300</v>
      </c>
      <c r="C102" s="336" t="s">
        <v>23</v>
      </c>
      <c r="D102" s="335">
        <v>0</v>
      </c>
      <c r="E102" s="334"/>
      <c r="F102" s="334">
        <f t="shared" si="2"/>
        <v>0</v>
      </c>
    </row>
    <row r="103" spans="1:6" s="4" customFormat="1" ht="15" hidden="1">
      <c r="A103" s="28" t="s">
        <v>111</v>
      </c>
      <c r="B103" s="29" t="s">
        <v>469</v>
      </c>
      <c r="C103" s="336" t="s">
        <v>4</v>
      </c>
      <c r="D103" s="335">
        <v>0</v>
      </c>
      <c r="E103" s="334"/>
      <c r="F103" s="334">
        <f t="shared" si="2"/>
        <v>0</v>
      </c>
    </row>
    <row r="104" spans="1:6" s="4" customFormat="1" ht="15" hidden="1">
      <c r="A104" s="28" t="s">
        <v>112</v>
      </c>
      <c r="B104" s="29" t="s">
        <v>470</v>
      </c>
      <c r="C104" s="336"/>
      <c r="D104" s="335"/>
      <c r="E104" s="334"/>
      <c r="F104" s="334">
        <f t="shared" si="2"/>
        <v>0</v>
      </c>
    </row>
    <row r="105" spans="1:6" s="4" customFormat="1" ht="15" hidden="1">
      <c r="A105" s="28" t="s">
        <v>375</v>
      </c>
      <c r="B105" s="29" t="s">
        <v>20</v>
      </c>
      <c r="C105" s="336" t="s">
        <v>10</v>
      </c>
      <c r="D105" s="335">
        <v>0</v>
      </c>
      <c r="E105" s="334"/>
      <c r="F105" s="334">
        <f t="shared" si="2"/>
        <v>0</v>
      </c>
    </row>
    <row r="106" spans="1:6" s="4" customFormat="1" ht="15" hidden="1">
      <c r="A106" s="28" t="s">
        <v>113</v>
      </c>
      <c r="B106" s="29" t="s">
        <v>300</v>
      </c>
      <c r="C106" s="336" t="s">
        <v>23</v>
      </c>
      <c r="D106" s="335">
        <v>0</v>
      </c>
      <c r="E106" s="334"/>
      <c r="F106" s="334">
        <f t="shared" si="2"/>
        <v>0</v>
      </c>
    </row>
    <row r="107" spans="1:6" s="4" customFormat="1" ht="15" hidden="1">
      <c r="A107" s="28" t="s">
        <v>284</v>
      </c>
      <c r="B107" s="29" t="s">
        <v>469</v>
      </c>
      <c r="C107" s="336" t="s">
        <v>4</v>
      </c>
      <c r="D107" s="335">
        <v>0</v>
      </c>
      <c r="E107" s="334"/>
      <c r="F107" s="334">
        <f t="shared" si="2"/>
        <v>0</v>
      </c>
    </row>
    <row r="108" spans="1:6" s="4" customFormat="1" ht="15.6">
      <c r="A108" s="28" t="s">
        <v>471</v>
      </c>
      <c r="B108" s="27" t="s">
        <v>114</v>
      </c>
      <c r="C108" s="336"/>
      <c r="D108" s="335"/>
      <c r="E108" s="334"/>
      <c r="F108" s="334"/>
    </row>
    <row r="109" spans="1:6" s="4" customFormat="1" ht="15">
      <c r="A109" s="28" t="s">
        <v>472</v>
      </c>
      <c r="B109" s="29" t="s">
        <v>473</v>
      </c>
      <c r="C109" s="336" t="s">
        <v>4</v>
      </c>
      <c r="D109" s="335">
        <f>7.95*1.1*3</f>
        <v>26.235000000000003</v>
      </c>
      <c r="E109" s="334"/>
      <c r="F109" s="334">
        <f>D109*E109</f>
        <v>0</v>
      </c>
    </row>
    <row r="110" spans="1:6" s="4" customFormat="1" ht="15">
      <c r="A110" s="28" t="s">
        <v>472</v>
      </c>
      <c r="B110" s="29" t="s">
        <v>560</v>
      </c>
      <c r="C110" s="336" t="s">
        <v>9</v>
      </c>
      <c r="D110" s="335">
        <v>3</v>
      </c>
      <c r="E110" s="334"/>
      <c r="F110" s="334">
        <f>D110*E110</f>
        <v>0</v>
      </c>
    </row>
    <row r="111" spans="1:6" s="4" customFormat="1" ht="15">
      <c r="A111" s="28" t="s">
        <v>472</v>
      </c>
      <c r="B111" s="29" t="s">
        <v>474</v>
      </c>
      <c r="C111" s="336" t="s">
        <v>7</v>
      </c>
      <c r="D111" s="335">
        <f>6*3</f>
        <v>18</v>
      </c>
      <c r="E111" s="334"/>
      <c r="F111" s="334">
        <f>D111*E111</f>
        <v>0</v>
      </c>
    </row>
    <row r="112" spans="1:6" s="4" customFormat="1" ht="15">
      <c r="A112" s="28" t="s">
        <v>561</v>
      </c>
      <c r="B112" s="29" t="s">
        <v>562</v>
      </c>
      <c r="C112" s="336" t="s">
        <v>9</v>
      </c>
      <c r="D112" s="335">
        <v>0</v>
      </c>
      <c r="E112" s="334"/>
      <c r="F112" s="334">
        <f>D112*E112</f>
        <v>0</v>
      </c>
    </row>
    <row r="113" spans="1:6" s="4" customFormat="1" ht="15.6" thickBot="1">
      <c r="A113" s="28" t="s">
        <v>475</v>
      </c>
      <c r="B113" s="29" t="s">
        <v>476</v>
      </c>
      <c r="C113" s="336" t="s">
        <v>9</v>
      </c>
      <c r="D113" s="335">
        <v>4</v>
      </c>
      <c r="E113" s="334"/>
      <c r="F113" s="334">
        <f>D113*E113</f>
        <v>0</v>
      </c>
    </row>
    <row r="114" spans="1:6" s="4" customFormat="1" ht="17.399999999999999" customHeight="1" thickBot="1">
      <c r="A114" s="18"/>
      <c r="B114" s="358" t="s">
        <v>115</v>
      </c>
      <c r="C114" s="332"/>
      <c r="D114" s="333"/>
      <c r="E114" s="343"/>
      <c r="F114" s="343">
        <f>SUM(F20:F113)</f>
        <v>0</v>
      </c>
    </row>
    <row r="115" spans="1:6" s="4" customFormat="1" ht="16.2" thickBot="1">
      <c r="A115" s="52"/>
      <c r="B115" s="53" t="s">
        <v>477</v>
      </c>
      <c r="C115" s="371"/>
      <c r="D115" s="372"/>
      <c r="E115" s="375"/>
      <c r="F115" s="375">
        <f>F17+F114</f>
        <v>0</v>
      </c>
    </row>
    <row r="116" spans="1:6" s="40" customFormat="1" ht="15.6">
      <c r="A116" s="37">
        <v>3</v>
      </c>
      <c r="B116" s="38" t="s">
        <v>478</v>
      </c>
      <c r="C116" s="357"/>
      <c r="D116" s="356"/>
      <c r="E116" s="355"/>
      <c r="F116" s="355"/>
    </row>
    <row r="117" spans="1:6" s="4" customFormat="1" ht="15">
      <c r="A117" s="28" t="s">
        <v>116</v>
      </c>
      <c r="B117" s="29" t="s">
        <v>117</v>
      </c>
      <c r="C117" s="336"/>
      <c r="D117" s="336"/>
      <c r="E117" s="334"/>
      <c r="F117" s="334"/>
    </row>
    <row r="118" spans="1:6" s="4" customFormat="1" ht="15">
      <c r="A118" s="15" t="s">
        <v>118</v>
      </c>
      <c r="B118" s="16" t="s">
        <v>586</v>
      </c>
      <c r="C118" s="336" t="s">
        <v>479</v>
      </c>
      <c r="D118" s="336">
        <v>0</v>
      </c>
      <c r="E118" s="354"/>
      <c r="F118" s="334">
        <f t="shared" ref="F118:F125" si="3">D118*E118</f>
        <v>0</v>
      </c>
    </row>
    <row r="119" spans="1:6" s="4" customFormat="1" ht="15">
      <c r="A119" s="15" t="s">
        <v>119</v>
      </c>
      <c r="B119" s="16" t="s">
        <v>120</v>
      </c>
      <c r="C119" s="336" t="s">
        <v>10</v>
      </c>
      <c r="D119" s="336">
        <f>(12*31.25)/100*0</f>
        <v>0</v>
      </c>
      <c r="E119" s="354"/>
      <c r="F119" s="334">
        <f t="shared" si="3"/>
        <v>0</v>
      </c>
    </row>
    <row r="120" spans="1:6" s="4" customFormat="1" ht="15" hidden="1">
      <c r="A120" s="15" t="s">
        <v>121</v>
      </c>
      <c r="B120" s="16" t="s">
        <v>480</v>
      </c>
      <c r="C120" s="336" t="s">
        <v>7</v>
      </c>
      <c r="D120" s="336"/>
      <c r="E120" s="353"/>
      <c r="F120" s="334">
        <f t="shared" si="3"/>
        <v>0</v>
      </c>
    </row>
    <row r="121" spans="1:6" s="4" customFormat="1" ht="15" hidden="1">
      <c r="A121" s="15" t="s">
        <v>119</v>
      </c>
      <c r="B121" s="16" t="s">
        <v>481</v>
      </c>
      <c r="C121" s="336" t="s">
        <v>7</v>
      </c>
      <c r="D121" s="336"/>
      <c r="E121" s="353"/>
      <c r="F121" s="334">
        <f t="shared" si="3"/>
        <v>0</v>
      </c>
    </row>
    <row r="122" spans="1:6" s="4" customFormat="1" ht="15" hidden="1">
      <c r="A122" s="15" t="s">
        <v>482</v>
      </c>
      <c r="B122" s="16" t="s">
        <v>483</v>
      </c>
      <c r="C122" s="336" t="s">
        <v>7</v>
      </c>
      <c r="D122" s="336"/>
      <c r="E122" s="353"/>
      <c r="F122" s="334">
        <f t="shared" si="3"/>
        <v>0</v>
      </c>
    </row>
    <row r="123" spans="1:6" s="4" customFormat="1" ht="15" hidden="1">
      <c r="A123" s="15" t="s">
        <v>484</v>
      </c>
      <c r="B123" s="16" t="s">
        <v>485</v>
      </c>
      <c r="C123" s="336" t="s">
        <v>7</v>
      </c>
      <c r="D123" s="336"/>
      <c r="E123" s="353"/>
      <c r="F123" s="334">
        <f t="shared" si="3"/>
        <v>0</v>
      </c>
    </row>
    <row r="124" spans="1:6" s="4" customFormat="1" ht="15" hidden="1">
      <c r="A124" s="15" t="s">
        <v>486</v>
      </c>
      <c r="B124" s="16" t="s">
        <v>487</v>
      </c>
      <c r="C124" s="336" t="s">
        <v>7</v>
      </c>
      <c r="D124" s="336"/>
      <c r="E124" s="353"/>
      <c r="F124" s="334">
        <f t="shared" si="3"/>
        <v>0</v>
      </c>
    </row>
    <row r="125" spans="1:6" s="4" customFormat="1" ht="15.6" thickBot="1">
      <c r="A125" s="15" t="s">
        <v>488</v>
      </c>
      <c r="B125" s="16" t="s">
        <v>122</v>
      </c>
      <c r="C125" s="336" t="s">
        <v>9</v>
      </c>
      <c r="D125" s="336">
        <v>0</v>
      </c>
      <c r="E125" s="334"/>
      <c r="F125" s="334">
        <f t="shared" si="3"/>
        <v>0</v>
      </c>
    </row>
    <row r="126" spans="1:6" s="4" customFormat="1" ht="16.2" thickBot="1">
      <c r="A126" s="56"/>
      <c r="B126" s="53" t="s">
        <v>489</v>
      </c>
      <c r="C126" s="373"/>
      <c r="D126" s="377"/>
      <c r="E126" s="376"/>
      <c r="F126" s="375">
        <f>SUM(F118:F125)</f>
        <v>0</v>
      </c>
    </row>
    <row r="127" spans="1:6" s="4" customFormat="1" ht="15.6">
      <c r="A127" s="41">
        <v>4</v>
      </c>
      <c r="B127" s="42" t="s">
        <v>490</v>
      </c>
      <c r="C127" s="342"/>
      <c r="D127" s="335"/>
      <c r="E127" s="344"/>
      <c r="F127" s="334"/>
    </row>
    <row r="128" spans="1:6" s="4" customFormat="1" ht="15">
      <c r="A128" s="28" t="s">
        <v>123</v>
      </c>
      <c r="B128" s="29" t="s">
        <v>43</v>
      </c>
      <c r="C128" s="336"/>
      <c r="D128" s="335"/>
      <c r="E128" s="334"/>
      <c r="F128" s="334"/>
    </row>
    <row r="129" spans="1:6" s="4" customFormat="1" ht="15.6">
      <c r="A129" s="28" t="s">
        <v>124</v>
      </c>
      <c r="B129" s="42" t="s">
        <v>44</v>
      </c>
      <c r="C129" s="336"/>
      <c r="D129" s="335"/>
      <c r="E129" s="334"/>
      <c r="F129" s="334"/>
    </row>
    <row r="130" spans="1:6" s="4" customFormat="1" ht="15">
      <c r="A130" s="28" t="s">
        <v>491</v>
      </c>
      <c r="B130" s="29" t="s">
        <v>675</v>
      </c>
      <c r="C130" s="336" t="s">
        <v>4</v>
      </c>
      <c r="D130" s="335">
        <f>12*32.25*0</f>
        <v>0</v>
      </c>
      <c r="E130" s="334"/>
      <c r="F130" s="334">
        <f>D130*E130</f>
        <v>0</v>
      </c>
    </row>
    <row r="131" spans="1:6" s="4" customFormat="1" ht="15.6">
      <c r="A131" s="28" t="s">
        <v>125</v>
      </c>
      <c r="B131" s="42" t="s">
        <v>126</v>
      </c>
      <c r="C131" s="336"/>
      <c r="D131" s="335"/>
      <c r="E131" s="334"/>
      <c r="F131" s="334"/>
    </row>
    <row r="132" spans="1:6" s="4" customFormat="1" ht="15.6">
      <c r="A132" s="28" t="s">
        <v>127</v>
      </c>
      <c r="B132" s="29" t="s">
        <v>676</v>
      </c>
      <c r="C132" s="336" t="s">
        <v>7</v>
      </c>
      <c r="D132" s="335">
        <v>0</v>
      </c>
      <c r="E132" s="334"/>
      <c r="F132" s="334">
        <f>D132*E132</f>
        <v>0</v>
      </c>
    </row>
    <row r="133" spans="1:6" s="4" customFormat="1" ht="15.6">
      <c r="A133" s="28" t="s">
        <v>246</v>
      </c>
      <c r="B133" s="42" t="s">
        <v>130</v>
      </c>
      <c r="C133" s="349"/>
      <c r="D133" s="335"/>
      <c r="E133" s="337"/>
      <c r="F133" s="334"/>
    </row>
    <row r="134" spans="1:6" s="4" customFormat="1" ht="15.6" thickBot="1">
      <c r="A134" s="35" t="s">
        <v>247</v>
      </c>
      <c r="B134" s="29" t="s">
        <v>563</v>
      </c>
      <c r="C134" s="352" t="s">
        <v>4</v>
      </c>
      <c r="D134" s="335">
        <f>(2*32.25*0.4)+(12*0.6)</f>
        <v>33</v>
      </c>
      <c r="E134" s="351"/>
      <c r="F134" s="334">
        <f>D134*E134</f>
        <v>0</v>
      </c>
    </row>
    <row r="135" spans="1:6" s="4" customFormat="1" ht="16.2" thickBot="1">
      <c r="A135" s="56"/>
      <c r="B135" s="374" t="s">
        <v>492</v>
      </c>
      <c r="C135" s="371"/>
      <c r="D135" s="372"/>
      <c r="E135" s="375"/>
      <c r="F135" s="375">
        <f>SUM(F130:F134)</f>
        <v>0</v>
      </c>
    </row>
    <row r="136" spans="1:6" s="4" customFormat="1" ht="15.6">
      <c r="A136" s="14">
        <v>5</v>
      </c>
      <c r="B136" s="43" t="s">
        <v>493</v>
      </c>
      <c r="C136" s="336"/>
      <c r="D136" s="335"/>
      <c r="E136" s="334"/>
      <c r="F136" s="334"/>
    </row>
    <row r="137" spans="1:6" s="4" customFormat="1" ht="15.6">
      <c r="A137" s="16" t="s">
        <v>49</v>
      </c>
      <c r="B137" s="43" t="s">
        <v>51</v>
      </c>
      <c r="C137" s="336"/>
      <c r="D137" s="335"/>
      <c r="E137" s="334"/>
      <c r="F137" s="334"/>
    </row>
    <row r="138" spans="1:6" s="4" customFormat="1" ht="15.6" thickBot="1">
      <c r="A138" s="29" t="s">
        <v>50</v>
      </c>
      <c r="B138" s="44" t="s">
        <v>494</v>
      </c>
      <c r="C138" s="336" t="s">
        <v>131</v>
      </c>
      <c r="D138" s="335">
        <v>1</v>
      </c>
      <c r="E138" s="334"/>
      <c r="F138" s="334">
        <f>D138*E138</f>
        <v>0</v>
      </c>
    </row>
    <row r="139" spans="1:6" s="4" customFormat="1" ht="16.2" thickBot="1">
      <c r="A139" s="56"/>
      <c r="B139" s="378" t="s">
        <v>495</v>
      </c>
      <c r="C139" s="371"/>
      <c r="D139" s="372"/>
      <c r="E139" s="375"/>
      <c r="F139" s="375">
        <f>F138</f>
        <v>0</v>
      </c>
    </row>
    <row r="140" spans="1:6" s="4" customFormat="1" ht="15.6">
      <c r="A140" s="15">
        <v>6</v>
      </c>
      <c r="B140" s="350" t="s">
        <v>496</v>
      </c>
      <c r="C140" s="6"/>
      <c r="D140" s="341"/>
      <c r="E140" s="340"/>
      <c r="F140" s="334"/>
    </row>
    <row r="141" spans="1:6" s="4" customFormat="1" ht="15.6">
      <c r="A141" s="348" t="s">
        <v>325</v>
      </c>
      <c r="B141" s="43" t="s">
        <v>497</v>
      </c>
      <c r="C141" s="349"/>
      <c r="D141" s="341"/>
      <c r="E141" s="337"/>
      <c r="F141" s="334"/>
    </row>
    <row r="142" spans="1:6" s="4" customFormat="1" ht="15">
      <c r="A142" s="348" t="s">
        <v>326</v>
      </c>
      <c r="B142" s="346" t="s">
        <v>564</v>
      </c>
      <c r="C142" s="336" t="s">
        <v>9</v>
      </c>
      <c r="D142" s="335">
        <v>3</v>
      </c>
      <c r="E142" s="336"/>
      <c r="F142" s="334">
        <f>D142*E142</f>
        <v>0</v>
      </c>
    </row>
    <row r="143" spans="1:6" s="4" customFormat="1" ht="15">
      <c r="A143" s="348" t="s">
        <v>376</v>
      </c>
      <c r="B143" s="16" t="s">
        <v>498</v>
      </c>
      <c r="C143" s="336"/>
      <c r="D143" s="335"/>
      <c r="E143" s="334"/>
      <c r="F143" s="334">
        <f>D143*E143</f>
        <v>0</v>
      </c>
    </row>
    <row r="144" spans="1:6" s="4" customFormat="1" ht="15">
      <c r="A144" s="348" t="s">
        <v>499</v>
      </c>
      <c r="B144" s="16" t="s">
        <v>500</v>
      </c>
      <c r="C144" s="336" t="s">
        <v>9</v>
      </c>
      <c r="D144" s="335">
        <v>0</v>
      </c>
      <c r="E144" s="334"/>
      <c r="F144" s="334">
        <f>D144*E144</f>
        <v>0</v>
      </c>
    </row>
    <row r="145" spans="1:6" s="4" customFormat="1" ht="15">
      <c r="A145" s="348" t="s">
        <v>501</v>
      </c>
      <c r="B145" s="16" t="s">
        <v>259</v>
      </c>
      <c r="C145" s="336" t="s">
        <v>9</v>
      </c>
      <c r="D145" s="335">
        <v>0</v>
      </c>
      <c r="E145" s="334"/>
      <c r="F145" s="334">
        <f>D145*E145</f>
        <v>0</v>
      </c>
    </row>
    <row r="146" spans="1:6" s="4" customFormat="1" ht="15.6">
      <c r="A146" s="348" t="s">
        <v>377</v>
      </c>
      <c r="B146" s="43" t="s">
        <v>502</v>
      </c>
      <c r="C146" s="349"/>
      <c r="D146" s="341"/>
      <c r="E146" s="337"/>
      <c r="F146" s="334"/>
    </row>
    <row r="147" spans="1:6" s="4" customFormat="1" ht="15.6">
      <c r="A147" s="348" t="s">
        <v>378</v>
      </c>
      <c r="B147" s="346" t="s">
        <v>503</v>
      </c>
      <c r="C147" s="349"/>
      <c r="D147" s="341"/>
      <c r="E147" s="337"/>
      <c r="F147" s="334"/>
    </row>
    <row r="148" spans="1:6" s="4" customFormat="1" ht="15">
      <c r="A148" s="348" t="s">
        <v>504</v>
      </c>
      <c r="B148" s="346" t="s">
        <v>505</v>
      </c>
      <c r="C148" s="336" t="s">
        <v>7</v>
      </c>
      <c r="D148" s="335">
        <v>4</v>
      </c>
      <c r="E148" s="334"/>
      <c r="F148" s="334">
        <f>D148*E148</f>
        <v>0</v>
      </c>
    </row>
    <row r="149" spans="1:6" s="4" customFormat="1" ht="15.6" thickBot="1">
      <c r="A149" s="15" t="s">
        <v>506</v>
      </c>
      <c r="B149" s="346" t="s">
        <v>507</v>
      </c>
      <c r="C149" s="336" t="s">
        <v>4</v>
      </c>
      <c r="D149" s="335">
        <v>2</v>
      </c>
      <c r="E149" s="334"/>
      <c r="F149" s="334">
        <f>D149*E149</f>
        <v>0</v>
      </c>
    </row>
    <row r="150" spans="1:6" s="4" customFormat="1" ht="16.2" thickBot="1">
      <c r="A150" s="380"/>
      <c r="B150" s="379" t="s">
        <v>508</v>
      </c>
      <c r="C150" s="371"/>
      <c r="D150" s="372"/>
      <c r="E150" s="375"/>
      <c r="F150" s="375">
        <f>SUM(F142:F149)</f>
        <v>0</v>
      </c>
    </row>
    <row r="151" spans="1:6" s="4" customFormat="1" ht="15.6">
      <c r="A151" s="41">
        <v>7</v>
      </c>
      <c r="B151" s="42" t="s">
        <v>509</v>
      </c>
      <c r="C151" s="347"/>
      <c r="D151" s="339"/>
      <c r="E151" s="344"/>
      <c r="F151" s="334"/>
    </row>
    <row r="152" spans="1:6" s="4" customFormat="1" ht="15" hidden="1">
      <c r="A152" s="346" t="s">
        <v>132</v>
      </c>
      <c r="B152" s="29" t="s">
        <v>510</v>
      </c>
      <c r="C152" s="336" t="s">
        <v>7</v>
      </c>
      <c r="D152" s="335">
        <v>0</v>
      </c>
      <c r="E152" s="334"/>
      <c r="F152" s="334">
        <f>D152*E152</f>
        <v>0</v>
      </c>
    </row>
    <row r="153" spans="1:6" s="4" customFormat="1" ht="15" hidden="1">
      <c r="A153" s="346" t="s">
        <v>133</v>
      </c>
      <c r="B153" s="29" t="s">
        <v>511</v>
      </c>
      <c r="C153" s="336" t="s">
        <v>7</v>
      </c>
      <c r="D153" s="335">
        <v>0</v>
      </c>
      <c r="E153" s="334"/>
      <c r="F153" s="334">
        <f>D153*E153</f>
        <v>0</v>
      </c>
    </row>
    <row r="154" spans="1:6" s="4" customFormat="1" ht="15">
      <c r="A154" s="346" t="s">
        <v>382</v>
      </c>
      <c r="B154" s="29" t="s">
        <v>512</v>
      </c>
      <c r="C154" s="336"/>
      <c r="D154" s="335"/>
      <c r="E154" s="334"/>
      <c r="F154" s="334"/>
    </row>
    <row r="155" spans="1:6" s="4" customFormat="1" ht="15">
      <c r="A155" s="346"/>
      <c r="B155" s="29" t="s">
        <v>513</v>
      </c>
      <c r="C155" s="336" t="s">
        <v>4</v>
      </c>
      <c r="D155" s="335">
        <f>32.25*11.45</f>
        <v>369.26249999999999</v>
      </c>
      <c r="E155" s="334"/>
      <c r="F155" s="334">
        <f>D155*E155</f>
        <v>0</v>
      </c>
    </row>
    <row r="156" spans="1:6" s="4" customFormat="1" ht="15.6" thickBot="1">
      <c r="A156" s="346"/>
      <c r="B156" s="29" t="s">
        <v>664</v>
      </c>
      <c r="C156" s="336" t="s">
        <v>4</v>
      </c>
      <c r="D156" s="335">
        <v>369.26</v>
      </c>
      <c r="E156" s="334"/>
      <c r="F156" s="334">
        <f>D156*E156</f>
        <v>0</v>
      </c>
    </row>
    <row r="157" spans="1:6" s="4" customFormat="1" ht="16.2" thickBot="1">
      <c r="A157" s="56"/>
      <c r="B157" s="378" t="s">
        <v>514</v>
      </c>
      <c r="C157" s="371"/>
      <c r="D157" s="372"/>
      <c r="E157" s="376"/>
      <c r="F157" s="375">
        <f>SUM(F152:F156)</f>
        <v>0</v>
      </c>
    </row>
    <row r="158" spans="1:6" s="4" customFormat="1" ht="21.6" customHeight="1">
      <c r="A158" s="14">
        <v>8</v>
      </c>
      <c r="B158" s="47" t="s">
        <v>663</v>
      </c>
      <c r="C158" s="6"/>
      <c r="D158" s="341"/>
      <c r="E158" s="340"/>
      <c r="F158" s="334"/>
    </row>
    <row r="159" spans="1:6" s="4" customFormat="1" ht="15.6">
      <c r="A159" s="15" t="s">
        <v>330</v>
      </c>
      <c r="B159" s="47" t="s">
        <v>134</v>
      </c>
      <c r="C159" s="336"/>
      <c r="D159" s="335"/>
      <c r="E159" s="334"/>
      <c r="F159" s="334"/>
    </row>
    <row r="160" spans="1:6" s="4" customFormat="1" ht="15">
      <c r="A160" s="15" t="s">
        <v>332</v>
      </c>
      <c r="B160" s="16" t="s">
        <v>587</v>
      </c>
      <c r="C160" s="336" t="s">
        <v>9</v>
      </c>
      <c r="D160" s="335">
        <v>3</v>
      </c>
      <c r="E160" s="334"/>
      <c r="F160" s="334">
        <f>D160*E160</f>
        <v>0</v>
      </c>
    </row>
    <row r="161" spans="1:7" s="4" customFormat="1" ht="15">
      <c r="A161" s="15" t="s">
        <v>515</v>
      </c>
      <c r="B161" s="16" t="s">
        <v>565</v>
      </c>
      <c r="C161" s="336" t="s">
        <v>9</v>
      </c>
      <c r="D161" s="335">
        <v>2</v>
      </c>
      <c r="E161" s="334"/>
      <c r="F161" s="334">
        <f>D161*E161</f>
        <v>0</v>
      </c>
    </row>
    <row r="162" spans="1:7" s="4" customFormat="1" ht="15.6">
      <c r="A162" s="15" t="s">
        <v>516</v>
      </c>
      <c r="B162" s="47" t="s">
        <v>135</v>
      </c>
      <c r="C162" s="336"/>
      <c r="D162" s="335"/>
      <c r="E162" s="334"/>
      <c r="F162" s="334"/>
    </row>
    <row r="163" spans="1:7" s="4" customFormat="1" ht="15">
      <c r="A163" s="15" t="s">
        <v>517</v>
      </c>
      <c r="B163" s="16" t="s">
        <v>662</v>
      </c>
      <c r="C163" s="336" t="s">
        <v>9</v>
      </c>
      <c r="D163" s="336">
        <v>1</v>
      </c>
      <c r="E163" s="334"/>
      <c r="F163" s="334">
        <f>D163*E163</f>
        <v>0</v>
      </c>
    </row>
    <row r="164" spans="1:7" s="4" customFormat="1" ht="15">
      <c r="A164" s="15" t="s">
        <v>518</v>
      </c>
      <c r="B164" s="16" t="s">
        <v>361</v>
      </c>
      <c r="C164" s="336" t="s">
        <v>4</v>
      </c>
      <c r="D164" s="336">
        <v>3</v>
      </c>
      <c r="E164" s="334"/>
      <c r="F164" s="334">
        <f>D164*E164</f>
        <v>0</v>
      </c>
    </row>
    <row r="165" spans="1:7" s="4" customFormat="1" ht="15.6">
      <c r="A165" s="16" t="s">
        <v>519</v>
      </c>
      <c r="B165" s="11" t="s">
        <v>566</v>
      </c>
      <c r="C165" s="336"/>
      <c r="D165" s="336"/>
      <c r="E165" s="334"/>
      <c r="F165" s="334"/>
    </row>
    <row r="166" spans="1:7" s="4" customFormat="1" ht="15">
      <c r="A166" s="16" t="s">
        <v>520</v>
      </c>
      <c r="B166" s="16" t="s">
        <v>521</v>
      </c>
      <c r="C166" s="336"/>
      <c r="D166" s="336"/>
      <c r="E166" s="334"/>
      <c r="F166" s="334"/>
    </row>
    <row r="167" spans="1:7" s="4" customFormat="1" ht="15.6" thickBot="1">
      <c r="A167" s="16" t="s">
        <v>522</v>
      </c>
      <c r="B167" s="16" t="s">
        <v>567</v>
      </c>
      <c r="C167" s="336" t="s">
        <v>9</v>
      </c>
      <c r="D167" s="336">
        <v>2</v>
      </c>
      <c r="E167" s="334"/>
      <c r="F167" s="334">
        <f>D167*E167</f>
        <v>0</v>
      </c>
    </row>
    <row r="168" spans="1:7" s="4" customFormat="1" ht="16.2" hidden="1" thickBot="1">
      <c r="A168" s="16" t="s">
        <v>523</v>
      </c>
      <c r="B168" s="11" t="s">
        <v>524</v>
      </c>
      <c r="C168" s="336"/>
      <c r="D168" s="336"/>
      <c r="E168" s="334"/>
      <c r="F168" s="334"/>
    </row>
    <row r="169" spans="1:7" s="4" customFormat="1" ht="15.6" hidden="1" thickBot="1">
      <c r="A169" s="16" t="s">
        <v>525</v>
      </c>
      <c r="B169" s="16" t="s">
        <v>526</v>
      </c>
      <c r="C169" s="336" t="s">
        <v>9</v>
      </c>
      <c r="D169" s="336">
        <v>0</v>
      </c>
      <c r="E169" s="334"/>
      <c r="F169" s="334">
        <f>D169*E169</f>
        <v>0</v>
      </c>
    </row>
    <row r="170" spans="1:7" s="4" customFormat="1" ht="15.6" hidden="1" thickBot="1">
      <c r="A170" s="16" t="s">
        <v>527</v>
      </c>
      <c r="B170" s="16" t="s">
        <v>528</v>
      </c>
      <c r="C170" s="336" t="s">
        <v>9</v>
      </c>
      <c r="D170" s="336">
        <v>0</v>
      </c>
      <c r="E170" s="334"/>
      <c r="F170" s="334">
        <f>D170*E170</f>
        <v>0</v>
      </c>
    </row>
    <row r="171" spans="1:7" s="4" customFormat="1" ht="16.2" thickBot="1">
      <c r="A171" s="56"/>
      <c r="B171" s="374" t="s">
        <v>529</v>
      </c>
      <c r="C171" s="373"/>
      <c r="D171" s="377"/>
      <c r="E171" s="376"/>
      <c r="F171" s="375">
        <f>SUM(F161:F170)</f>
        <v>0</v>
      </c>
    </row>
    <row r="172" spans="1:7" s="4" customFormat="1" ht="15.6">
      <c r="A172" s="14">
        <v>9</v>
      </c>
      <c r="B172" s="11" t="s">
        <v>530</v>
      </c>
      <c r="C172" s="342"/>
      <c r="D172" s="345"/>
      <c r="E172" s="344"/>
      <c r="F172" s="334"/>
    </row>
    <row r="173" spans="1:7" s="4" customFormat="1" ht="15.6">
      <c r="A173" s="14">
        <v>10</v>
      </c>
      <c r="B173" s="11" t="s">
        <v>531</v>
      </c>
      <c r="C173" s="336"/>
      <c r="D173" s="335"/>
      <c r="E173" s="334"/>
      <c r="F173" s="334"/>
    </row>
    <row r="174" spans="1:7" s="30" customFormat="1" ht="15">
      <c r="A174" s="15" t="s">
        <v>136</v>
      </c>
      <c r="B174" s="16" t="s">
        <v>532</v>
      </c>
      <c r="C174" s="336"/>
      <c r="D174" s="335"/>
      <c r="E174" s="334"/>
      <c r="F174" s="334"/>
      <c r="G174" s="4"/>
    </row>
    <row r="175" spans="1:7" s="4" customFormat="1" ht="15.6" thickBot="1">
      <c r="A175" s="15" t="s">
        <v>533</v>
      </c>
      <c r="B175" s="48" t="s">
        <v>671</v>
      </c>
      <c r="C175" s="336" t="s">
        <v>479</v>
      </c>
      <c r="D175" s="335">
        <v>0</v>
      </c>
      <c r="E175" s="334"/>
      <c r="F175" s="334">
        <f>D175*E175</f>
        <v>0</v>
      </c>
    </row>
    <row r="176" spans="1:7" s="30" customFormat="1" ht="15.6" hidden="1" thickBot="1">
      <c r="A176" s="15" t="s">
        <v>568</v>
      </c>
      <c r="B176" s="16" t="s">
        <v>569</v>
      </c>
      <c r="C176" s="336" t="s">
        <v>9</v>
      </c>
      <c r="D176" s="335">
        <v>0</v>
      </c>
      <c r="E176" s="334"/>
      <c r="F176" s="334">
        <f>D176*E176</f>
        <v>0</v>
      </c>
      <c r="G176" s="4"/>
    </row>
    <row r="177" spans="1:7" s="30" customFormat="1" ht="15.6" hidden="1" thickBot="1">
      <c r="A177" s="15" t="s">
        <v>570</v>
      </c>
      <c r="B177" s="16" t="s">
        <v>571</v>
      </c>
      <c r="C177" s="336" t="s">
        <v>9</v>
      </c>
      <c r="D177" s="335">
        <v>0</v>
      </c>
      <c r="E177" s="334"/>
      <c r="F177" s="334">
        <f>D177*E177</f>
        <v>0</v>
      </c>
      <c r="G177" s="4"/>
    </row>
    <row r="178" spans="1:7" s="30" customFormat="1" ht="15.6" hidden="1" thickBot="1">
      <c r="A178" s="15" t="s">
        <v>572</v>
      </c>
      <c r="B178" s="16" t="s">
        <v>573</v>
      </c>
      <c r="C178" s="336" t="s">
        <v>9</v>
      </c>
      <c r="D178" s="335">
        <v>0</v>
      </c>
      <c r="E178" s="334"/>
      <c r="F178" s="334">
        <f>D178*E178</f>
        <v>0</v>
      </c>
      <c r="G178" s="4"/>
    </row>
    <row r="179" spans="1:7" s="4" customFormat="1" ht="16.2" thickBot="1">
      <c r="A179" s="52"/>
      <c r="B179" s="374" t="s">
        <v>534</v>
      </c>
      <c r="C179" s="373"/>
      <c r="D179" s="377"/>
      <c r="E179" s="376"/>
      <c r="F179" s="375">
        <f>SUM(F175:F178)</f>
        <v>0</v>
      </c>
    </row>
    <row r="180" spans="1:7" s="4" customFormat="1" ht="15.6">
      <c r="A180" s="14">
        <v>11</v>
      </c>
      <c r="B180" s="11" t="s">
        <v>535</v>
      </c>
      <c r="C180" s="342"/>
      <c r="D180" s="341"/>
      <c r="E180" s="340"/>
      <c r="F180" s="334"/>
    </row>
    <row r="181" spans="1:7" s="30" customFormat="1" ht="15.6">
      <c r="A181" s="15" t="s">
        <v>536</v>
      </c>
      <c r="B181" s="47" t="s">
        <v>137</v>
      </c>
      <c r="C181" s="338"/>
      <c r="D181" s="339"/>
      <c r="E181" s="338"/>
      <c r="F181" s="334"/>
      <c r="G181" s="4"/>
    </row>
    <row r="182" spans="1:7" s="30" customFormat="1" ht="15">
      <c r="A182" s="15" t="s">
        <v>537</v>
      </c>
      <c r="B182" s="48" t="s">
        <v>59</v>
      </c>
      <c r="C182" s="336" t="s">
        <v>4</v>
      </c>
      <c r="D182" s="335">
        <f>((31.25+8.3)*2*3.5)</f>
        <v>276.84999999999997</v>
      </c>
      <c r="E182" s="334"/>
      <c r="F182" s="334">
        <f>D182*E182</f>
        <v>0</v>
      </c>
      <c r="G182" s="4"/>
    </row>
    <row r="183" spans="1:7" s="30" customFormat="1" ht="18" customHeight="1">
      <c r="A183" s="15" t="s">
        <v>538</v>
      </c>
      <c r="B183" s="48" t="s">
        <v>138</v>
      </c>
      <c r="C183" s="336" t="s">
        <v>4</v>
      </c>
      <c r="D183" s="335">
        <f>1.5*31.25*2+8*2*1.5*2</f>
        <v>141.75</v>
      </c>
      <c r="E183" s="334"/>
      <c r="F183" s="334">
        <f>D183*E183</f>
        <v>0</v>
      </c>
      <c r="G183" s="4"/>
    </row>
    <row r="184" spans="1:7" s="4" customFormat="1" ht="15.6">
      <c r="A184" s="15" t="s">
        <v>539</v>
      </c>
      <c r="B184" s="47" t="s">
        <v>139</v>
      </c>
      <c r="C184" s="336"/>
      <c r="D184" s="335"/>
      <c r="E184" s="334"/>
      <c r="F184" s="334"/>
    </row>
    <row r="185" spans="1:7" s="4" customFormat="1" ht="15">
      <c r="A185" s="15" t="s">
        <v>540</v>
      </c>
      <c r="B185" s="48" t="s">
        <v>60</v>
      </c>
      <c r="C185" s="336" t="s">
        <v>4</v>
      </c>
      <c r="D185" s="335">
        <f>(31.25*2+8*8)*3+3.3*3*2</f>
        <v>399.3</v>
      </c>
      <c r="E185" s="334"/>
      <c r="F185" s="334">
        <f>D185*E185</f>
        <v>0</v>
      </c>
    </row>
    <row r="186" spans="1:7" s="4" customFormat="1" ht="15">
      <c r="A186" s="15" t="s">
        <v>541</v>
      </c>
      <c r="B186" s="48" t="s">
        <v>542</v>
      </c>
      <c r="C186" s="336" t="s">
        <v>4</v>
      </c>
      <c r="D186" s="335">
        <f>D156</f>
        <v>369.26</v>
      </c>
      <c r="E186" s="334"/>
      <c r="F186" s="334">
        <f>D186*E186</f>
        <v>0</v>
      </c>
    </row>
    <row r="187" spans="1:7" s="4" customFormat="1" ht="11.55" customHeight="1">
      <c r="A187" s="15"/>
      <c r="B187" s="48"/>
      <c r="C187" s="336"/>
      <c r="D187" s="335"/>
      <c r="E187" s="334"/>
      <c r="F187" s="334"/>
    </row>
    <row r="188" spans="1:7" s="4" customFormat="1" ht="15.6" hidden="1">
      <c r="A188" s="15" t="s">
        <v>543</v>
      </c>
      <c r="B188" s="47" t="s">
        <v>544</v>
      </c>
      <c r="C188" s="336"/>
      <c r="D188" s="336"/>
      <c r="E188" s="334"/>
      <c r="F188" s="334"/>
    </row>
    <row r="189" spans="1:7" s="4" customFormat="1" ht="30" hidden="1">
      <c r="A189" s="15" t="s">
        <v>545</v>
      </c>
      <c r="B189" s="48" t="s">
        <v>546</v>
      </c>
      <c r="C189" s="336" t="s">
        <v>4</v>
      </c>
      <c r="D189" s="336">
        <v>0</v>
      </c>
      <c r="E189" s="334"/>
      <c r="F189" s="334">
        <f>D189*E189</f>
        <v>0</v>
      </c>
    </row>
    <row r="190" spans="1:7" s="4" customFormat="1" ht="15" hidden="1">
      <c r="A190" s="15"/>
      <c r="B190" s="48"/>
      <c r="C190" s="336"/>
      <c r="D190" s="335"/>
      <c r="E190" s="334"/>
      <c r="F190" s="334"/>
    </row>
    <row r="191" spans="1:7" s="4" customFormat="1" ht="15.6">
      <c r="A191" s="16" t="s">
        <v>547</v>
      </c>
      <c r="B191" s="47" t="s">
        <v>140</v>
      </c>
      <c r="C191" s="336"/>
      <c r="D191" s="335"/>
      <c r="E191" s="337"/>
      <c r="F191" s="334"/>
    </row>
    <row r="192" spans="1:7" s="4" customFormat="1" ht="30.6">
      <c r="A192" s="16" t="s">
        <v>548</v>
      </c>
      <c r="B192" s="48" t="s">
        <v>141</v>
      </c>
      <c r="C192" s="336" t="s">
        <v>4</v>
      </c>
      <c r="D192" s="335">
        <f>3*1.65*2.2*2+0.9*2.2*2</f>
        <v>25.74</v>
      </c>
      <c r="E192" s="334"/>
      <c r="F192" s="334">
        <f>D192*E192</f>
        <v>0</v>
      </c>
    </row>
    <row r="193" spans="1:7" s="4" customFormat="1" ht="15.6">
      <c r="A193" s="16" t="s">
        <v>549</v>
      </c>
      <c r="B193" s="47" t="s">
        <v>550</v>
      </c>
      <c r="C193" s="336"/>
      <c r="D193" s="335"/>
      <c r="E193" s="334"/>
      <c r="F193" s="334"/>
    </row>
    <row r="194" spans="1:7" s="4" customFormat="1" ht="15">
      <c r="A194" s="16" t="s">
        <v>551</v>
      </c>
      <c r="B194" s="48" t="s">
        <v>574</v>
      </c>
      <c r="C194" s="336" t="s">
        <v>4</v>
      </c>
      <c r="D194" s="335">
        <f>3*6*1.4+4*3*1.4*4</f>
        <v>92.399999999999991</v>
      </c>
      <c r="E194" s="334"/>
      <c r="F194" s="334">
        <f>D194*E194</f>
        <v>0</v>
      </c>
    </row>
    <row r="195" spans="1:7" s="4" customFormat="1" ht="15.6" thickBot="1">
      <c r="A195" s="16" t="s">
        <v>551</v>
      </c>
      <c r="B195" s="48" t="s">
        <v>142</v>
      </c>
      <c r="C195" s="336" t="s">
        <v>4</v>
      </c>
      <c r="D195" s="335">
        <f>3*6*1.4+4*3*1.4*4</f>
        <v>92.399999999999991</v>
      </c>
      <c r="E195" s="334"/>
      <c r="F195" s="334">
        <f>D195*E195</f>
        <v>0</v>
      </c>
    </row>
    <row r="196" spans="1:7" s="4" customFormat="1" ht="16.2" thickBot="1">
      <c r="A196" s="52"/>
      <c r="B196" s="374" t="s">
        <v>552</v>
      </c>
      <c r="C196" s="373"/>
      <c r="D196" s="372"/>
      <c r="E196" s="371"/>
      <c r="F196" s="370">
        <f>SUM(F182:F195)</f>
        <v>0</v>
      </c>
    </row>
    <row r="197" spans="1:7" s="305" customFormat="1" ht="22.95" customHeight="1">
      <c r="B197" s="369"/>
      <c r="C197" s="369"/>
      <c r="D197" s="369"/>
      <c r="E197" s="369"/>
      <c r="F197" s="369"/>
    </row>
    <row r="198" spans="1:7" ht="22.5" customHeight="1">
      <c r="A198" s="304"/>
      <c r="B198" s="307" t="s">
        <v>588</v>
      </c>
      <c r="C198" s="303"/>
      <c r="D198" s="306"/>
      <c r="E198" s="303"/>
      <c r="F198" s="308">
        <f>F11+F115+F126+F135+F139+F150+F157+F171+F179+F196</f>
        <v>0</v>
      </c>
    </row>
    <row r="199" spans="1:7" s="302" customFormat="1" ht="15">
      <c r="A199" s="300"/>
      <c r="B199" s="304"/>
      <c r="D199" s="301"/>
      <c r="G199" s="300"/>
    </row>
    <row r="200" spans="1:7" ht="22.5" customHeight="1">
      <c r="A200" s="304"/>
      <c r="B200" s="307" t="s">
        <v>346</v>
      </c>
      <c r="C200" s="309">
        <v>0.15</v>
      </c>
      <c r="D200" s="306"/>
      <c r="E200" s="303"/>
      <c r="F200" s="308">
        <f>F198*C200</f>
        <v>0</v>
      </c>
    </row>
    <row r="201" spans="1:7" s="302" customFormat="1" ht="15">
      <c r="A201" s="300"/>
      <c r="B201" s="304"/>
      <c r="D201" s="301"/>
      <c r="G201" s="300"/>
    </row>
    <row r="202" spans="1:7" ht="22.5" customHeight="1">
      <c r="A202" s="304"/>
      <c r="B202" s="307" t="s">
        <v>669</v>
      </c>
      <c r="C202" s="303"/>
      <c r="D202" s="306"/>
      <c r="E202" s="303"/>
      <c r="F202" s="308">
        <f>F198+F200</f>
        <v>0</v>
      </c>
    </row>
  </sheetData>
  <mergeCells count="2">
    <mergeCell ref="A3:F3"/>
    <mergeCell ref="B5:E5"/>
  </mergeCells>
  <pageMargins left="0.7" right="0.7" top="0.75" bottom="0.75" header="0.3" footer="0.3"/>
  <pageSetup paperSize="9" scale="48" orientation="portrait" r:id="rId1"/>
  <rowBreaks count="1" manualBreakCount="1">
    <brk id="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topLeftCell="A2" zoomScale="80" zoomScaleSheetLayoutView="80" workbookViewId="0">
      <selection activeCell="B77" sqref="B77"/>
    </sheetView>
  </sheetViews>
  <sheetFormatPr baseColWidth="10" defaultColWidth="11.44140625" defaultRowHeight="15"/>
  <cols>
    <col min="1" max="1" width="10" style="232" customWidth="1"/>
    <col min="2" max="2" width="61.21875" style="232" bestFit="1" customWidth="1"/>
    <col min="3" max="3" width="9.21875" style="2" customWidth="1"/>
    <col min="4" max="4" width="10.5546875" style="3" customWidth="1"/>
    <col min="5" max="5" width="11.77734375" style="3" customWidth="1"/>
    <col min="6" max="6" width="18.77734375" style="233" customWidth="1"/>
    <col min="7" max="16384" width="11.44140625" style="2"/>
  </cols>
  <sheetData>
    <row r="1" spans="1:6" ht="29.55" customHeight="1"/>
    <row r="2" spans="1:6" ht="27.6" customHeight="1"/>
    <row r="3" spans="1:6" ht="22.95" customHeight="1">
      <c r="A3" s="1"/>
      <c r="B3" s="1"/>
      <c r="F3" s="234"/>
    </row>
    <row r="4" spans="1:6" s="4" customFormat="1" ht="13.8" thickBot="1">
      <c r="B4" s="523"/>
      <c r="C4" s="523"/>
      <c r="D4" s="5"/>
      <c r="E4" s="229"/>
      <c r="F4" s="235"/>
    </row>
    <row r="5" spans="1:6" s="4" customFormat="1" ht="22.95" customHeight="1" thickBot="1">
      <c r="A5" s="524" t="s">
        <v>353</v>
      </c>
      <c r="B5" s="525"/>
      <c r="C5" s="525"/>
      <c r="D5" s="525"/>
      <c r="E5" s="525"/>
      <c r="F5" s="526"/>
    </row>
    <row r="6" spans="1:6" s="4" customFormat="1" ht="13.2" customHeight="1" thickBot="1">
      <c r="B6" s="7"/>
      <c r="C6" s="7"/>
      <c r="D6" s="8"/>
      <c r="E6" s="9"/>
      <c r="F6" s="236"/>
    </row>
    <row r="7" spans="1:6" s="10" customFormat="1" ht="33" customHeight="1" thickBot="1">
      <c r="A7" s="262" t="s">
        <v>356</v>
      </c>
      <c r="B7" s="263" t="s">
        <v>70</v>
      </c>
      <c r="C7" s="264" t="s">
        <v>75</v>
      </c>
      <c r="D7" s="265" t="s">
        <v>76</v>
      </c>
      <c r="E7" s="266" t="s">
        <v>77</v>
      </c>
      <c r="F7" s="267" t="s">
        <v>78</v>
      </c>
    </row>
    <row r="8" spans="1:6" s="10" customFormat="1" ht="14.55" customHeight="1">
      <c r="A8" s="66"/>
      <c r="B8" s="65"/>
      <c r="C8" s="6"/>
      <c r="D8" s="64"/>
      <c r="E8" s="198"/>
      <c r="F8" s="237"/>
    </row>
    <row r="9" spans="1:6" s="4" customFormat="1" ht="15.6">
      <c r="A9" s="67" t="s">
        <v>147</v>
      </c>
      <c r="B9" s="68" t="s">
        <v>146</v>
      </c>
      <c r="C9" s="69"/>
      <c r="D9" s="70"/>
      <c r="E9" s="199"/>
      <c r="F9" s="238"/>
    </row>
    <row r="10" spans="1:6" s="4" customFormat="1" ht="13.95" customHeight="1">
      <c r="A10" s="98"/>
      <c r="B10" s="99"/>
      <c r="C10" s="32"/>
      <c r="D10" s="33"/>
      <c r="E10" s="200"/>
      <c r="F10" s="239"/>
    </row>
    <row r="11" spans="1:6" s="4" customFormat="1" ht="16.2" customHeight="1">
      <c r="A11" s="100" t="s">
        <v>68</v>
      </c>
      <c r="B11" s="101" t="s">
        <v>372</v>
      </c>
      <c r="C11" s="32" t="s">
        <v>176</v>
      </c>
      <c r="D11" s="33">
        <v>1</v>
      </c>
      <c r="E11" s="200"/>
      <c r="F11" s="240">
        <f t="shared" ref="F11:F12" si="0">D11*E11</f>
        <v>0</v>
      </c>
    </row>
    <row r="12" spans="1:6" s="4" customFormat="1" ht="15.6" customHeight="1">
      <c r="A12" s="15" t="s">
        <v>5</v>
      </c>
      <c r="B12" s="16" t="s">
        <v>175</v>
      </c>
      <c r="C12" s="12" t="s">
        <v>176</v>
      </c>
      <c r="D12" s="17">
        <v>1</v>
      </c>
      <c r="E12" s="201"/>
      <c r="F12" s="240">
        <f t="shared" si="0"/>
        <v>0</v>
      </c>
    </row>
    <row r="13" spans="1:6" s="4" customFormat="1" ht="17.5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40">
        <f>D13*E13</f>
        <v>0</v>
      </c>
    </row>
    <row r="14" spans="1:6" s="4" customFormat="1" ht="16.2" thickBot="1">
      <c r="A14" s="52"/>
      <c r="B14" s="53" t="s">
        <v>155</v>
      </c>
      <c r="C14" s="54"/>
      <c r="D14" s="55"/>
      <c r="E14" s="202"/>
      <c r="F14" s="241">
        <f>SUM(F11:F13)</f>
        <v>0</v>
      </c>
    </row>
    <row r="15" spans="1:6" s="4" customFormat="1" ht="15.6">
      <c r="B15" s="71"/>
      <c r="C15" s="22"/>
      <c r="D15" s="23"/>
      <c r="E15" s="203"/>
      <c r="F15" s="240"/>
    </row>
    <row r="16" spans="1:6" s="4" customFormat="1" ht="15.6">
      <c r="A16" s="67" t="s">
        <v>14</v>
      </c>
      <c r="B16" s="72" t="s">
        <v>148</v>
      </c>
      <c r="C16" s="73"/>
      <c r="D16" s="74"/>
      <c r="E16" s="204"/>
      <c r="F16" s="238"/>
    </row>
    <row r="17" spans="1:6" s="4" customFormat="1" ht="15.6">
      <c r="A17" s="14"/>
      <c r="B17" s="21"/>
      <c r="C17" s="22"/>
      <c r="D17" s="23"/>
      <c r="E17" s="205"/>
      <c r="F17" s="240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0"/>
    </row>
    <row r="19" spans="1:6" s="4" customFormat="1">
      <c r="A19" s="15" t="s">
        <v>293</v>
      </c>
      <c r="B19" s="16" t="s">
        <v>348</v>
      </c>
      <c r="C19" s="12" t="s">
        <v>7</v>
      </c>
      <c r="D19" s="50">
        <v>134.51</v>
      </c>
      <c r="E19" s="201"/>
      <c r="F19" s="240"/>
    </row>
    <row r="20" spans="1:6" s="4" customFormat="1">
      <c r="A20" s="15" t="s">
        <v>294</v>
      </c>
      <c r="B20" s="16" t="s">
        <v>340</v>
      </c>
      <c r="C20" s="12" t="s">
        <v>10</v>
      </c>
      <c r="D20" s="50">
        <f>D19*0.85*0.6</f>
        <v>68.600099999999983</v>
      </c>
      <c r="E20" s="201"/>
      <c r="F20" s="240">
        <f>D20*E20</f>
        <v>0</v>
      </c>
    </row>
    <row r="21" spans="1:6" s="4" customFormat="1" ht="17.55" customHeight="1">
      <c r="A21" s="15" t="s">
        <v>296</v>
      </c>
      <c r="B21" s="16" t="s">
        <v>83</v>
      </c>
      <c r="C21" s="12" t="s">
        <v>10</v>
      </c>
      <c r="D21" s="50">
        <f>D19*0.65*0.45</f>
        <v>39.344175</v>
      </c>
      <c r="E21" s="201"/>
      <c r="F21" s="240">
        <f t="shared" ref="F21:F22" si="1">D21*E21</f>
        <v>0</v>
      </c>
    </row>
    <row r="22" spans="1:6" s="4" customFormat="1" ht="17.55" customHeight="1" thickBot="1">
      <c r="A22" s="15" t="s">
        <v>298</v>
      </c>
      <c r="B22" s="16" t="s">
        <v>85</v>
      </c>
      <c r="C22" s="12" t="s">
        <v>10</v>
      </c>
      <c r="D22" s="50">
        <f>30.27*9.88*0.5</f>
        <v>149.53380000000001</v>
      </c>
      <c r="E22" s="201"/>
      <c r="F22" s="240">
        <f t="shared" si="1"/>
        <v>0</v>
      </c>
    </row>
    <row r="23" spans="1:6" s="4" customFormat="1" ht="17.55" customHeight="1" thickBot="1">
      <c r="A23" s="18"/>
      <c r="B23" s="268" t="s">
        <v>156</v>
      </c>
      <c r="C23" s="19"/>
      <c r="D23" s="20"/>
      <c r="E23" s="208"/>
      <c r="F23" s="269">
        <f>SUM(F20:F22)</f>
        <v>0</v>
      </c>
    </row>
    <row r="24" spans="1:6" s="4" customFormat="1" ht="17.55" customHeight="1">
      <c r="A24" s="24" t="s">
        <v>315</v>
      </c>
      <c r="B24" s="84" t="s">
        <v>173</v>
      </c>
      <c r="C24" s="25"/>
      <c r="D24" s="13"/>
      <c r="E24" s="207"/>
      <c r="F24" s="240"/>
    </row>
    <row r="25" spans="1:6" s="4" customFormat="1" ht="17.55" customHeight="1">
      <c r="A25" s="28" t="s">
        <v>17</v>
      </c>
      <c r="B25" s="27" t="s">
        <v>172</v>
      </c>
      <c r="C25" s="12"/>
      <c r="D25" s="17"/>
      <c r="E25" s="201"/>
      <c r="F25" s="240"/>
    </row>
    <row r="26" spans="1:6" s="4" customFormat="1" ht="17.55" customHeight="1">
      <c r="A26" s="28" t="s">
        <v>86</v>
      </c>
      <c r="B26" s="29" t="s">
        <v>87</v>
      </c>
      <c r="C26" s="12" t="s">
        <v>10</v>
      </c>
      <c r="D26" s="17">
        <f>D19*0.6*0.05</f>
        <v>4.0352999999999994</v>
      </c>
      <c r="E26" s="201"/>
      <c r="F26" s="240">
        <f>D26*E26</f>
        <v>0</v>
      </c>
    </row>
    <row r="27" spans="1:6" s="4" customFormat="1" ht="17.55" customHeight="1">
      <c r="A27" s="28" t="s">
        <v>88</v>
      </c>
      <c r="B27" s="29" t="s">
        <v>178</v>
      </c>
      <c r="C27" s="12" t="s">
        <v>10</v>
      </c>
      <c r="D27" s="17">
        <f>D19*0.6*0.15</f>
        <v>12.105899999999998</v>
      </c>
      <c r="E27" s="201"/>
      <c r="F27" s="240">
        <f t="shared" ref="F27:F57" si="2">D27*E27</f>
        <v>0</v>
      </c>
    </row>
    <row r="28" spans="1:6" s="4" customFormat="1" ht="17.55" customHeight="1">
      <c r="A28" s="28" t="s">
        <v>89</v>
      </c>
      <c r="B28" s="29" t="s">
        <v>362</v>
      </c>
      <c r="C28" s="12" t="s">
        <v>10</v>
      </c>
      <c r="D28" s="17">
        <f>29*0.15*0.15*0.66+9*0.15*0.2*0.66</f>
        <v>0.60885</v>
      </c>
      <c r="E28" s="201"/>
      <c r="F28" s="240">
        <f t="shared" si="2"/>
        <v>0</v>
      </c>
    </row>
    <row r="29" spans="1:6" s="4" customFormat="1" ht="17.55" customHeight="1">
      <c r="A29" s="28" t="s">
        <v>90</v>
      </c>
      <c r="B29" s="29" t="s">
        <v>363</v>
      </c>
      <c r="C29" s="12" t="s">
        <v>10</v>
      </c>
      <c r="D29" s="17">
        <f>134.51*0.2*0.15</f>
        <v>4.0353000000000003</v>
      </c>
      <c r="E29" s="201"/>
      <c r="F29" s="240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134.51*1.05</f>
        <v>141.2355</v>
      </c>
      <c r="E30" s="201"/>
      <c r="F30" s="240">
        <f t="shared" si="2"/>
        <v>0</v>
      </c>
    </row>
    <row r="31" spans="1:6" s="4" customFormat="1">
      <c r="A31" s="28" t="s">
        <v>92</v>
      </c>
      <c r="B31" s="29" t="s">
        <v>341</v>
      </c>
      <c r="C31" s="32" t="s">
        <v>10</v>
      </c>
      <c r="D31" s="33">
        <f>30.27*9.88*0.1</f>
        <v>29.906760000000006</v>
      </c>
      <c r="E31" s="200"/>
      <c r="F31" s="240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30.27*9.88</f>
        <v>299.06760000000003</v>
      </c>
      <c r="E32" s="201"/>
      <c r="F32" s="240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40"/>
    </row>
    <row r="34" spans="1:6" s="4" customFormat="1" ht="45">
      <c r="A34" s="28"/>
      <c r="B34" s="34" t="s">
        <v>354</v>
      </c>
      <c r="C34" s="12" t="s">
        <v>4</v>
      </c>
      <c r="D34" s="17">
        <f>30.27*0.44*4*2</f>
        <v>106.5504</v>
      </c>
      <c r="E34" s="201"/>
      <c r="F34" s="240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30.27*0.4*0.4*2</f>
        <v>9.6864000000000008</v>
      </c>
      <c r="E35" s="201"/>
      <c r="F35" s="240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30.27*0.4*0.1*2</f>
        <v>2.4216000000000002</v>
      </c>
      <c r="E36" s="201"/>
      <c r="F36" s="240">
        <f t="shared" si="2"/>
        <v>0</v>
      </c>
    </row>
    <row r="37" spans="1:6" s="4" customFormat="1" ht="15.6">
      <c r="A37" s="28" t="s">
        <v>24</v>
      </c>
      <c r="B37" s="83" t="s">
        <v>149</v>
      </c>
      <c r="C37" s="22"/>
      <c r="D37" s="17"/>
      <c r="E37" s="205"/>
      <c r="F37" s="240"/>
    </row>
    <row r="38" spans="1:6" s="4" customFormat="1">
      <c r="A38" s="28" t="s">
        <v>26</v>
      </c>
      <c r="B38" s="29" t="s">
        <v>342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201"/>
      <c r="F38" s="240">
        <f t="shared" si="2"/>
        <v>0</v>
      </c>
    </row>
    <row r="39" spans="1:6" s="4" customFormat="1">
      <c r="A39" s="28" t="s">
        <v>373</v>
      </c>
      <c r="B39" s="29" t="s">
        <v>98</v>
      </c>
      <c r="C39" s="12" t="s">
        <v>10</v>
      </c>
      <c r="D39" s="17">
        <f>29*0.15*0.15*3.5+9*0.2*0.15*3.5</f>
        <v>3.2287499999999998</v>
      </c>
      <c r="E39" s="201"/>
      <c r="F39" s="240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D29+(1*0.15*0.2+1.46*0.2*0.15)*3</f>
        <v>4.2567000000000004</v>
      </c>
      <c r="E40" s="201"/>
      <c r="F40" s="240">
        <f t="shared" si="2"/>
        <v>0</v>
      </c>
    </row>
    <row r="41" spans="1:6" s="4" customFormat="1">
      <c r="A41" s="28" t="s">
        <v>374</v>
      </c>
      <c r="B41" s="29" t="s">
        <v>102</v>
      </c>
      <c r="C41" s="12" t="s">
        <v>10</v>
      </c>
      <c r="D41" s="17">
        <f>5*10*0.2*0.1</f>
        <v>1</v>
      </c>
      <c r="E41" s="201"/>
      <c r="F41" s="240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0"/>
    </row>
    <row r="43" spans="1:6" s="4" customFormat="1">
      <c r="A43" s="28"/>
      <c r="B43" s="29" t="s">
        <v>177</v>
      </c>
      <c r="C43" s="12" t="s">
        <v>4</v>
      </c>
      <c r="D43" s="17">
        <f>(30.35*2+9.88+7.23)*3-D46-(4*0.9*2.2+31.14*2.2)+2*(12*1.6/2)</f>
        <v>120.042</v>
      </c>
      <c r="E43" s="201"/>
      <c r="F43" s="240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(30.35*2+9.38*2+7.23*7)*3-D43-5*1*2.2+3*1.46*2.2+(2*(12*1.6/2))</f>
        <v>288.00400000000002</v>
      </c>
      <c r="E44" s="201"/>
      <c r="F44" s="240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40"/>
    </row>
    <row r="46" spans="1:6" s="4" customFormat="1" ht="30.6">
      <c r="A46" s="28" t="s">
        <v>29</v>
      </c>
      <c r="B46" s="51" t="s">
        <v>143</v>
      </c>
      <c r="C46" s="12" t="s">
        <v>104</v>
      </c>
      <c r="D46" s="17">
        <f>3*(3*1.8*1.8+2*2.5*1.8)</f>
        <v>56.16</v>
      </c>
      <c r="E46" s="201"/>
      <c r="F46" s="240">
        <f t="shared" si="2"/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240"/>
    </row>
    <row r="48" spans="1:6" s="4" customFormat="1" ht="30">
      <c r="A48" s="289" t="s">
        <v>30</v>
      </c>
      <c r="B48" s="51" t="s">
        <v>387</v>
      </c>
      <c r="C48" s="12" t="s">
        <v>9</v>
      </c>
      <c r="D48" s="17">
        <v>4</v>
      </c>
      <c r="E48" s="201"/>
      <c r="F48" s="240">
        <f t="shared" ref="F48" si="3">D48*E48</f>
        <v>0</v>
      </c>
    </row>
    <row r="49" spans="1:6" s="4" customFormat="1" ht="34.5" customHeight="1">
      <c r="A49" s="289" t="s">
        <v>31</v>
      </c>
      <c r="B49" s="51" t="s">
        <v>388</v>
      </c>
      <c r="C49" s="12" t="s">
        <v>9</v>
      </c>
      <c r="D49" s="17">
        <v>3</v>
      </c>
      <c r="E49" s="201"/>
      <c r="F49" s="240">
        <f t="shared" si="2"/>
        <v>0</v>
      </c>
    </row>
    <row r="50" spans="1:6" s="4" customFormat="1" ht="20.25" customHeight="1">
      <c r="A50" s="28" t="s">
        <v>108</v>
      </c>
      <c r="B50" s="29" t="s">
        <v>152</v>
      </c>
      <c r="C50" s="12" t="s">
        <v>9</v>
      </c>
      <c r="D50" s="17">
        <v>4</v>
      </c>
      <c r="E50" s="201"/>
      <c r="F50" s="240">
        <f t="shared" si="2"/>
        <v>0</v>
      </c>
    </row>
    <row r="51" spans="1:6" s="4" customFormat="1" ht="15.6">
      <c r="A51" s="28" t="s">
        <v>108</v>
      </c>
      <c r="B51" s="27" t="s">
        <v>36</v>
      </c>
      <c r="C51" s="12"/>
      <c r="D51" s="17"/>
      <c r="E51" s="201"/>
      <c r="F51" s="240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40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40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40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40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0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0">
        <f t="shared" si="2"/>
        <v>0</v>
      </c>
    </row>
    <row r="58" spans="1:6" s="4" customFormat="1" ht="15.6">
      <c r="A58" s="28" t="s">
        <v>112</v>
      </c>
      <c r="B58" s="27" t="s">
        <v>114</v>
      </c>
      <c r="C58" s="12"/>
      <c r="D58" s="17"/>
      <c r="E58" s="201"/>
      <c r="F58" s="240"/>
    </row>
    <row r="59" spans="1:6" s="4" customFormat="1">
      <c r="A59" s="28" t="s">
        <v>375</v>
      </c>
      <c r="B59" s="85" t="s">
        <v>285</v>
      </c>
      <c r="C59" s="12" t="s">
        <v>9</v>
      </c>
      <c r="D59" s="17">
        <v>4</v>
      </c>
      <c r="E59" s="201"/>
      <c r="F59" s="240">
        <f t="shared" ref="F59:F60" si="4">D59*E59</f>
        <v>0</v>
      </c>
    </row>
    <row r="60" spans="1:6" s="4" customFormat="1" ht="15.6" thickBot="1">
      <c r="A60" s="28" t="s">
        <v>113</v>
      </c>
      <c r="B60" s="85" t="s">
        <v>389</v>
      </c>
      <c r="C60" s="12" t="s">
        <v>9</v>
      </c>
      <c r="D60" s="17">
        <v>3</v>
      </c>
      <c r="E60" s="201"/>
      <c r="F60" s="240">
        <f t="shared" si="4"/>
        <v>0</v>
      </c>
    </row>
    <row r="61" spans="1:6" s="4" customFormat="1" ht="17.55" customHeight="1" thickBot="1">
      <c r="A61" s="18"/>
      <c r="B61" s="91" t="s">
        <v>115</v>
      </c>
      <c r="C61" s="19"/>
      <c r="D61" s="20"/>
      <c r="E61" s="208"/>
      <c r="F61" s="242">
        <f>SUM(F26:F60)</f>
        <v>0</v>
      </c>
    </row>
    <row r="62" spans="1:6" s="4" customFormat="1" ht="16.2" thickBot="1">
      <c r="A62" s="52"/>
      <c r="B62" s="53" t="s">
        <v>153</v>
      </c>
      <c r="C62" s="54"/>
      <c r="D62" s="55"/>
      <c r="E62" s="206"/>
      <c r="F62" s="241">
        <f>F23+F61</f>
        <v>0</v>
      </c>
    </row>
    <row r="63" spans="1:6" s="40" customFormat="1" ht="15.6">
      <c r="A63" s="37"/>
      <c r="B63" s="38"/>
      <c r="C63" s="39"/>
      <c r="D63" s="33"/>
      <c r="E63" s="200"/>
      <c r="F63" s="239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243"/>
    </row>
    <row r="65" spans="1:6" s="40" customFormat="1" ht="15.6">
      <c r="A65" s="86"/>
      <c r="B65" s="244"/>
      <c r="C65" s="32"/>
      <c r="D65" s="33"/>
      <c r="E65" s="200"/>
      <c r="F65" s="239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40"/>
    </row>
    <row r="67" spans="1:6" s="4" customFormat="1">
      <c r="A67" s="15" t="s">
        <v>118</v>
      </c>
      <c r="B67" s="16" t="s">
        <v>120</v>
      </c>
      <c r="C67" s="12" t="s">
        <v>10</v>
      </c>
      <c r="D67" s="17">
        <f>(31.27*10.88)/100</f>
        <v>3.4021759999999999</v>
      </c>
      <c r="E67" s="210"/>
      <c r="F67" s="240">
        <f t="shared" ref="F67:F68" si="5">D67*E67</f>
        <v>0</v>
      </c>
    </row>
    <row r="68" spans="1:6" s="4" customFormat="1" ht="15.6" thickBot="1">
      <c r="A68" s="15" t="s">
        <v>119</v>
      </c>
      <c r="B68" s="16" t="s">
        <v>122</v>
      </c>
      <c r="C68" s="12" t="s">
        <v>9</v>
      </c>
      <c r="D68" s="17">
        <v>20</v>
      </c>
      <c r="E68" s="201"/>
      <c r="F68" s="240">
        <f t="shared" si="5"/>
        <v>0</v>
      </c>
    </row>
    <row r="69" spans="1:6" s="4" customFormat="1" ht="16.2" thickBot="1">
      <c r="A69" s="56"/>
      <c r="B69" s="53" t="s">
        <v>154</v>
      </c>
      <c r="C69" s="57"/>
      <c r="D69" s="58"/>
      <c r="E69" s="211"/>
      <c r="F69" s="241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240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243"/>
    </row>
    <row r="72" spans="1:6" s="4" customFormat="1" ht="15.6">
      <c r="A72" s="26"/>
      <c r="B72" s="42"/>
      <c r="C72" s="12"/>
      <c r="D72" s="17"/>
      <c r="E72" s="201"/>
      <c r="F72" s="240"/>
    </row>
    <row r="73" spans="1:6" s="4" customFormat="1" ht="15.6">
      <c r="A73" s="28" t="s">
        <v>123</v>
      </c>
      <c r="B73" s="42" t="s">
        <v>161</v>
      </c>
      <c r="C73" s="12"/>
      <c r="D73" s="17"/>
      <c r="E73" s="201"/>
      <c r="F73" s="240"/>
    </row>
    <row r="74" spans="1:6" s="4" customFormat="1">
      <c r="A74" s="28" t="s">
        <v>124</v>
      </c>
      <c r="B74" s="29" t="s">
        <v>677</v>
      </c>
      <c r="C74" s="12" t="s">
        <v>4</v>
      </c>
      <c r="D74" s="17">
        <f>31.87*12</f>
        <v>382.44</v>
      </c>
      <c r="E74" s="201"/>
      <c r="F74" s="240">
        <f>D74*E74</f>
        <v>0</v>
      </c>
    </row>
    <row r="75" spans="1:6" s="4" customFormat="1" ht="15.6">
      <c r="A75" s="28" t="s">
        <v>125</v>
      </c>
      <c r="B75" s="42" t="s">
        <v>126</v>
      </c>
      <c r="C75" s="12"/>
      <c r="D75" s="17"/>
      <c r="E75" s="201"/>
      <c r="F75" s="240"/>
    </row>
    <row r="76" spans="1:6" s="4" customFormat="1" ht="15.6">
      <c r="A76" s="28" t="s">
        <v>127</v>
      </c>
      <c r="B76" s="29" t="s">
        <v>678</v>
      </c>
      <c r="C76" s="12" t="s">
        <v>7</v>
      </c>
      <c r="D76" s="17">
        <v>31.87</v>
      </c>
      <c r="E76" s="201"/>
      <c r="F76" s="240">
        <f t="shared" ref="F76:F78" si="6">D76*E76</f>
        <v>0</v>
      </c>
    </row>
    <row r="77" spans="1:6" s="4" customFormat="1" ht="15.6">
      <c r="A77" s="28" t="s">
        <v>128</v>
      </c>
      <c r="B77" s="42" t="s">
        <v>130</v>
      </c>
      <c r="C77" s="22"/>
      <c r="D77" s="17"/>
      <c r="E77" s="205"/>
      <c r="F77" s="240"/>
    </row>
    <row r="78" spans="1:6" s="4" customFormat="1" ht="15.6" thickBot="1">
      <c r="A78" s="35" t="s">
        <v>129</v>
      </c>
      <c r="B78" s="29" t="s">
        <v>343</v>
      </c>
      <c r="C78" s="36" t="s">
        <v>4</v>
      </c>
      <c r="D78" s="17">
        <f>(31.87*2+24)*0.4</f>
        <v>35.096000000000004</v>
      </c>
      <c r="E78" s="212"/>
      <c r="F78" s="240">
        <f t="shared" si="6"/>
        <v>0</v>
      </c>
    </row>
    <row r="79" spans="1:6" s="4" customFormat="1" ht="16.2" thickBot="1">
      <c r="A79" s="56"/>
      <c r="B79" s="53" t="s">
        <v>157</v>
      </c>
      <c r="C79" s="54"/>
      <c r="D79" s="55"/>
      <c r="E79" s="206"/>
      <c r="F79" s="241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240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243"/>
    </row>
    <row r="82" spans="1:6" s="4" customFormat="1" ht="15.6">
      <c r="A82" s="14"/>
      <c r="B82" s="43"/>
      <c r="C82" s="12"/>
      <c r="D82" s="17"/>
      <c r="E82" s="201"/>
      <c r="F82" s="240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240"/>
    </row>
    <row r="84" spans="1:6" s="4" customFormat="1" ht="15.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40">
        <f>D84*E84</f>
        <v>0</v>
      </c>
    </row>
    <row r="85" spans="1:6" s="4" customFormat="1" ht="16.2" thickBot="1">
      <c r="A85" s="81"/>
      <c r="B85" s="82" t="s">
        <v>158</v>
      </c>
      <c r="C85" s="79"/>
      <c r="D85" s="78"/>
      <c r="E85" s="213"/>
      <c r="F85" s="245">
        <f>F84</f>
        <v>0</v>
      </c>
    </row>
    <row r="86" spans="1:6" s="4" customFormat="1" ht="15.6">
      <c r="A86" s="41"/>
      <c r="B86" s="42"/>
      <c r="C86" s="45"/>
      <c r="D86" s="46"/>
      <c r="E86" s="207"/>
      <c r="F86" s="240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243"/>
    </row>
    <row r="88" spans="1:6" s="4" customFormat="1" ht="15.6">
      <c r="A88" s="14"/>
      <c r="B88" s="47"/>
      <c r="C88" s="22"/>
      <c r="D88" s="23"/>
      <c r="E88" s="205"/>
      <c r="F88" s="240"/>
    </row>
    <row r="89" spans="1:6" s="4" customFormat="1" ht="15.6">
      <c r="A89" s="15" t="s">
        <v>325</v>
      </c>
      <c r="B89" s="47" t="s">
        <v>134</v>
      </c>
      <c r="C89" s="12"/>
      <c r="D89" s="17"/>
      <c r="E89" s="201"/>
      <c r="F89" s="240"/>
    </row>
    <row r="90" spans="1:6" s="4" customFormat="1">
      <c r="A90" s="15" t="s">
        <v>326</v>
      </c>
      <c r="B90" s="16" t="s">
        <v>344</v>
      </c>
      <c r="C90" s="12" t="s">
        <v>9</v>
      </c>
      <c r="D90" s="17">
        <v>3</v>
      </c>
      <c r="E90" s="201"/>
      <c r="F90" s="240">
        <f>D90*E90</f>
        <v>0</v>
      </c>
    </row>
    <row r="91" spans="1:6" s="4" customFormat="1">
      <c r="A91" s="15" t="s">
        <v>376</v>
      </c>
      <c r="B91" s="16" t="s">
        <v>357</v>
      </c>
      <c r="C91" s="12" t="s">
        <v>9</v>
      </c>
      <c r="D91" s="17">
        <v>5</v>
      </c>
      <c r="E91" s="201"/>
      <c r="F91" s="240">
        <f>D91*E91</f>
        <v>0</v>
      </c>
    </row>
    <row r="92" spans="1:6" s="4" customFormat="1" ht="15.6">
      <c r="A92" s="15" t="s">
        <v>377</v>
      </c>
      <c r="B92" s="47" t="s">
        <v>135</v>
      </c>
      <c r="C92" s="12"/>
      <c r="D92" s="17"/>
      <c r="E92" s="201"/>
      <c r="F92" s="240"/>
    </row>
    <row r="93" spans="1:6" s="4" customFormat="1">
      <c r="A93" s="15" t="s">
        <v>378</v>
      </c>
      <c r="B93" s="16" t="s">
        <v>358</v>
      </c>
      <c r="C93" s="12" t="s">
        <v>9</v>
      </c>
      <c r="D93" s="17">
        <v>4</v>
      </c>
      <c r="E93" s="201"/>
      <c r="F93" s="240">
        <f t="shared" ref="F93" si="7">D93*E93</f>
        <v>0</v>
      </c>
    </row>
    <row r="94" spans="1:6" s="4" customFormat="1" ht="15.6">
      <c r="A94" s="15" t="s">
        <v>379</v>
      </c>
      <c r="B94" s="47" t="s">
        <v>394</v>
      </c>
      <c r="C94" s="12"/>
      <c r="D94" s="17"/>
      <c r="E94" s="201"/>
      <c r="F94" s="240"/>
    </row>
    <row r="95" spans="1:6" s="4" customFormat="1" ht="15.6" thickBot="1">
      <c r="A95" s="15" t="s">
        <v>380</v>
      </c>
      <c r="B95" s="16" t="s">
        <v>393</v>
      </c>
      <c r="C95" s="12" t="s">
        <v>9</v>
      </c>
      <c r="D95" s="17">
        <v>2</v>
      </c>
      <c r="E95" s="201"/>
      <c r="F95" s="240">
        <f t="shared" ref="F95" si="8">D95*E95</f>
        <v>0</v>
      </c>
    </row>
    <row r="96" spans="1:6" s="4" customFormat="1" ht="16.2" thickBot="1">
      <c r="A96" s="81"/>
      <c r="B96" s="76" t="s">
        <v>159</v>
      </c>
      <c r="C96" s="77"/>
      <c r="D96" s="80"/>
      <c r="E96" s="215"/>
      <c r="F96" s="245">
        <f>SUM(F90:F95)</f>
        <v>0</v>
      </c>
    </row>
    <row r="97" spans="1:6" s="4" customFormat="1" ht="15.6">
      <c r="A97" s="41"/>
      <c r="B97" s="42"/>
      <c r="C97" s="45"/>
      <c r="D97" s="46"/>
      <c r="E97" s="207"/>
      <c r="F97" s="240"/>
    </row>
    <row r="98" spans="1:6" s="4" customFormat="1" ht="15.6">
      <c r="A98" s="93" t="s">
        <v>72</v>
      </c>
      <c r="B98" s="94" t="s">
        <v>391</v>
      </c>
      <c r="C98" s="95"/>
      <c r="D98" s="96"/>
      <c r="E98" s="214"/>
      <c r="F98" s="243"/>
    </row>
    <row r="99" spans="1:6" s="4" customFormat="1" ht="15.6">
      <c r="A99" s="14"/>
      <c r="B99" s="47"/>
      <c r="C99" s="22"/>
      <c r="D99" s="23"/>
      <c r="E99" s="205"/>
      <c r="F99" s="240"/>
    </row>
    <row r="100" spans="1:6" s="4" customFormat="1" ht="15.6">
      <c r="A100" s="15" t="s">
        <v>132</v>
      </c>
      <c r="B100" s="47" t="s">
        <v>395</v>
      </c>
      <c r="C100" s="12"/>
      <c r="D100" s="17"/>
      <c r="E100" s="201"/>
      <c r="F100" s="240"/>
    </row>
    <row r="101" spans="1:6" s="298" customFormat="1">
      <c r="A101" s="292" t="s">
        <v>163</v>
      </c>
      <c r="B101" s="48" t="s">
        <v>396</v>
      </c>
      <c r="C101" s="294" t="s">
        <v>9</v>
      </c>
      <c r="D101" s="295">
        <v>2</v>
      </c>
      <c r="E101" s="296"/>
      <c r="F101" s="297">
        <f>D101*E101</f>
        <v>0</v>
      </c>
    </row>
    <row r="102" spans="1:6" s="298" customFormat="1">
      <c r="A102" s="292" t="s">
        <v>163</v>
      </c>
      <c r="B102" s="299" t="s">
        <v>397</v>
      </c>
      <c r="C102" s="294" t="s">
        <v>7</v>
      </c>
      <c r="D102" s="295">
        <f>1.1*8</f>
        <v>8.8000000000000007</v>
      </c>
      <c r="E102" s="296"/>
      <c r="F102" s="297">
        <f>D102*E102</f>
        <v>0</v>
      </c>
    </row>
    <row r="103" spans="1:6" s="298" customFormat="1" ht="15.6">
      <c r="A103" s="292" t="s">
        <v>133</v>
      </c>
      <c r="B103" s="293" t="s">
        <v>398</v>
      </c>
      <c r="C103" s="294"/>
      <c r="D103" s="295"/>
      <c r="E103" s="296"/>
      <c r="F103" s="297"/>
    </row>
    <row r="104" spans="1:6" s="298" customFormat="1" ht="15.6" thickBot="1">
      <c r="A104" s="292" t="s">
        <v>164</v>
      </c>
      <c r="B104" s="299" t="s">
        <v>399</v>
      </c>
      <c r="C104" s="294" t="s">
        <v>4</v>
      </c>
      <c r="D104" s="295">
        <f>1.5*1.1*2</f>
        <v>3.3000000000000003</v>
      </c>
      <c r="E104" s="296"/>
      <c r="F104" s="297">
        <f>D104*E104</f>
        <v>0</v>
      </c>
    </row>
    <row r="105" spans="1:6" s="4" customFormat="1" ht="16.2" thickBot="1">
      <c r="A105" s="81"/>
      <c r="B105" s="76" t="s">
        <v>392</v>
      </c>
      <c r="C105" s="77"/>
      <c r="D105" s="80"/>
      <c r="E105" s="215"/>
      <c r="F105" s="245">
        <f>SUM(F101:F104)</f>
        <v>0</v>
      </c>
    </row>
    <row r="106" spans="1:6" s="4" customFormat="1" ht="15.6">
      <c r="A106" s="14"/>
      <c r="B106" s="11"/>
      <c r="C106" s="12"/>
      <c r="D106" s="17"/>
      <c r="E106" s="201"/>
      <c r="F106" s="240"/>
    </row>
    <row r="107" spans="1:6" s="4" customFormat="1" ht="15.6">
      <c r="A107" s="93" t="s">
        <v>72</v>
      </c>
      <c r="B107" s="97" t="s">
        <v>11</v>
      </c>
      <c r="C107" s="88"/>
      <c r="D107" s="96"/>
      <c r="E107" s="214"/>
      <c r="F107" s="243"/>
    </row>
    <row r="108" spans="1:6" s="4" customFormat="1" ht="15.6">
      <c r="A108" s="14"/>
      <c r="B108" s="11"/>
      <c r="C108" s="12"/>
      <c r="D108" s="23"/>
      <c r="E108" s="205"/>
      <c r="F108" s="240"/>
    </row>
    <row r="109" spans="1:6" s="30" customFormat="1" ht="15.6">
      <c r="A109" s="15" t="s">
        <v>132</v>
      </c>
      <c r="B109" s="47" t="s">
        <v>137</v>
      </c>
      <c r="C109" s="49"/>
      <c r="D109" s="46"/>
      <c r="E109" s="216"/>
      <c r="F109" s="240"/>
    </row>
    <row r="110" spans="1:6" s="30" customFormat="1">
      <c r="A110" s="15" t="s">
        <v>163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0">
        <f>D110*E110</f>
        <v>0</v>
      </c>
    </row>
    <row r="111" spans="1:6" s="30" customFormat="1" ht="30.6">
      <c r="A111" s="290" t="s">
        <v>381</v>
      </c>
      <c r="B111" s="48" t="s">
        <v>138</v>
      </c>
      <c r="C111" s="12" t="s">
        <v>4</v>
      </c>
      <c r="D111" s="17">
        <f>(30.27*2+9.88+7.23)*1.5</f>
        <v>116.47500000000001</v>
      </c>
      <c r="E111" s="201"/>
      <c r="F111" s="240">
        <f t="shared" ref="F111:F118" si="9">D111*E111</f>
        <v>0</v>
      </c>
    </row>
    <row r="112" spans="1:6" s="4" customFormat="1" ht="15.6">
      <c r="A112" s="15" t="s">
        <v>133</v>
      </c>
      <c r="B112" s="47" t="s">
        <v>139</v>
      </c>
      <c r="C112" s="12"/>
      <c r="D112" s="17"/>
      <c r="E112" s="201"/>
      <c r="F112" s="240"/>
    </row>
    <row r="113" spans="1:6" s="4" customFormat="1">
      <c r="A113" s="15" t="s">
        <v>164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0">
        <f t="shared" si="9"/>
        <v>0</v>
      </c>
    </row>
    <row r="114" spans="1:6" s="4" customFormat="1" ht="15.6">
      <c r="A114" s="15" t="s">
        <v>383</v>
      </c>
      <c r="B114" s="47" t="s">
        <v>140</v>
      </c>
      <c r="C114" s="12"/>
      <c r="D114" s="17"/>
      <c r="E114" s="205"/>
      <c r="F114" s="240"/>
    </row>
    <row r="115" spans="1:6" s="4" customFormat="1" ht="28.5" customHeight="1">
      <c r="A115" s="291" t="s">
        <v>384</v>
      </c>
      <c r="B115" s="48" t="s">
        <v>141</v>
      </c>
      <c r="C115" s="12" t="s">
        <v>4</v>
      </c>
      <c r="D115" s="17">
        <f>2*(3*1.46*2.2+5*1*2.2)</f>
        <v>41.272000000000006</v>
      </c>
      <c r="E115" s="201"/>
      <c r="F115" s="240">
        <f t="shared" si="9"/>
        <v>0</v>
      </c>
    </row>
    <row r="116" spans="1:6" s="4" customFormat="1" ht="15.6">
      <c r="A116" s="16" t="s">
        <v>382</v>
      </c>
      <c r="B116" s="47" t="s">
        <v>345</v>
      </c>
      <c r="C116" s="12"/>
      <c r="D116" s="17"/>
      <c r="E116" s="201"/>
      <c r="F116" s="240"/>
    </row>
    <row r="117" spans="1:6" s="4" customFormat="1">
      <c r="A117" s="16" t="s">
        <v>385</v>
      </c>
      <c r="B117" s="48" t="s">
        <v>390</v>
      </c>
      <c r="C117" s="12" t="s">
        <v>4</v>
      </c>
      <c r="D117" s="17">
        <f>6*1.4*3+4*3*1.4</f>
        <v>41.999999999999993</v>
      </c>
      <c r="E117" s="201"/>
      <c r="F117" s="240">
        <f t="shared" ref="F117" si="10">D117*E117</f>
        <v>0</v>
      </c>
    </row>
    <row r="118" spans="1:6" s="4" customFormat="1" ht="15.6" thickBot="1">
      <c r="A118" s="16" t="s">
        <v>386</v>
      </c>
      <c r="B118" s="48" t="s">
        <v>142</v>
      </c>
      <c r="C118" s="12" t="s">
        <v>4</v>
      </c>
      <c r="D118" s="17">
        <f>6*1.4*3+4*3*1.4</f>
        <v>41.999999999999993</v>
      </c>
      <c r="E118" s="201"/>
      <c r="F118" s="240">
        <f t="shared" si="9"/>
        <v>0</v>
      </c>
    </row>
    <row r="119" spans="1:6" s="4" customFormat="1" ht="16.2" thickBot="1">
      <c r="A119" s="75"/>
      <c r="B119" s="76" t="s">
        <v>160</v>
      </c>
      <c r="C119" s="77"/>
      <c r="D119" s="78"/>
      <c r="E119" s="79"/>
      <c r="F119" s="245">
        <f>SUM(F109:F118)</f>
        <v>0</v>
      </c>
    </row>
    <row r="120" spans="1:6" s="40" customFormat="1" ht="16.2" thickBot="1">
      <c r="A120" s="189"/>
      <c r="B120" s="190"/>
      <c r="C120" s="191"/>
      <c r="D120" s="192"/>
      <c r="E120" s="193"/>
      <c r="F120" s="246"/>
    </row>
    <row r="121" spans="1:6" s="4" customFormat="1" ht="16.2" thickBot="1">
      <c r="A121" s="59"/>
      <c r="B121" s="60" t="s">
        <v>286</v>
      </c>
      <c r="C121" s="61"/>
      <c r="D121" s="62"/>
      <c r="E121" s="63"/>
      <c r="F121" s="247">
        <f>F14+F62+F69+F79+F85+F96+F105+F119</f>
        <v>0</v>
      </c>
    </row>
    <row r="122" spans="1:6" s="40" customFormat="1" ht="16.2" thickBot="1">
      <c r="A122" s="189"/>
      <c r="B122" s="190"/>
      <c r="C122" s="191"/>
      <c r="D122" s="192"/>
      <c r="E122" s="193"/>
      <c r="F122" s="246"/>
    </row>
    <row r="123" spans="1:6" s="4" customFormat="1" ht="18" thickBot="1">
      <c r="A123" s="59"/>
      <c r="B123" s="310" t="s">
        <v>346</v>
      </c>
      <c r="C123" s="61"/>
      <c r="D123" s="194">
        <v>0.1</v>
      </c>
      <c r="E123" s="63"/>
      <c r="F123" s="248">
        <f>F121*D123</f>
        <v>0</v>
      </c>
    </row>
    <row r="124" spans="1:6" s="40" customFormat="1" ht="16.2" thickBot="1">
      <c r="A124" s="31"/>
      <c r="B124" s="244"/>
      <c r="C124" s="249"/>
      <c r="D124" s="250"/>
      <c r="E124" s="251"/>
      <c r="F124" s="252"/>
    </row>
    <row r="125" spans="1:6" s="4" customFormat="1" ht="16.2" thickBot="1">
      <c r="A125" s="59"/>
      <c r="B125" s="60" t="s">
        <v>347</v>
      </c>
      <c r="C125" s="61"/>
      <c r="D125" s="62"/>
      <c r="E125" s="63"/>
      <c r="F125" s="248">
        <f>F121+F123</f>
        <v>0</v>
      </c>
    </row>
    <row r="126" spans="1:6" s="40" customFormat="1" ht="15.6">
      <c r="A126" s="31"/>
      <c r="B126" s="244"/>
      <c r="C126" s="249"/>
      <c r="D126" s="250"/>
      <c r="E126" s="251"/>
      <c r="F126" s="252"/>
    </row>
  </sheetData>
  <sheetProtection selectLockedCells="1"/>
  <mergeCells count="2">
    <mergeCell ref="B4:C4"/>
    <mergeCell ref="A5:F5"/>
  </mergeCells>
  <phoneticPr fontId="35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DE78-56DB-4F05-BF45-09AAFA97B4A8}">
  <dimension ref="A1:G115"/>
  <sheetViews>
    <sheetView showGridLines="0" view="pageBreakPreview" topLeftCell="A97" zoomScale="90" zoomScaleSheetLayoutView="90" workbookViewId="0">
      <selection activeCell="H12" sqref="H12"/>
    </sheetView>
  </sheetViews>
  <sheetFormatPr baseColWidth="10" defaultColWidth="11.44140625" defaultRowHeight="15"/>
  <cols>
    <col min="1" max="1" width="10" style="232" customWidth="1"/>
    <col min="2" max="2" width="61.21875" style="232" bestFit="1" customWidth="1"/>
    <col min="3" max="3" width="8.21875" style="2" customWidth="1"/>
    <col min="4" max="4" width="10.5546875" style="3" customWidth="1"/>
    <col min="5" max="5" width="12.5546875" style="3" customWidth="1"/>
    <col min="6" max="6" width="14.77734375" style="3" customWidth="1"/>
    <col min="7" max="16384" width="11.44140625" style="2"/>
  </cols>
  <sheetData>
    <row r="1" spans="1:7" ht="29.55" customHeight="1"/>
    <row r="2" spans="1:7" ht="27.6" customHeight="1"/>
    <row r="3" spans="1:7" ht="22.95" customHeight="1">
      <c r="A3" s="1"/>
      <c r="B3" s="1"/>
    </row>
    <row r="4" spans="1:7" s="4" customFormat="1" ht="13.8" thickBot="1">
      <c r="B4" s="523"/>
      <c r="C4" s="523"/>
      <c r="D4" s="5"/>
      <c r="E4" s="229"/>
      <c r="F4" s="229"/>
    </row>
    <row r="5" spans="1:7" s="4" customFormat="1" ht="22.95" customHeight="1" thickBot="1">
      <c r="A5" s="524" t="s">
        <v>670</v>
      </c>
      <c r="B5" s="525"/>
      <c r="C5" s="525"/>
      <c r="D5" s="525"/>
      <c r="E5" s="525"/>
      <c r="F5" s="526"/>
    </row>
    <row r="6" spans="1:7" s="4" customFormat="1" ht="13.2" customHeight="1" thickBot="1">
      <c r="B6" s="7"/>
      <c r="C6" s="7"/>
      <c r="D6" s="8"/>
      <c r="E6" s="9"/>
      <c r="F6" s="9"/>
    </row>
    <row r="7" spans="1:7" s="444" customFormat="1" ht="33" customHeight="1" thickBot="1">
      <c r="A7" s="450" t="s">
        <v>640</v>
      </c>
      <c r="B7" s="449" t="s">
        <v>70</v>
      </c>
      <c r="C7" s="446" t="s">
        <v>75</v>
      </c>
      <c r="D7" s="448" t="s">
        <v>76</v>
      </c>
      <c r="E7" s="447" t="s">
        <v>77</v>
      </c>
      <c r="F7" s="446" t="s">
        <v>78</v>
      </c>
      <c r="G7" s="445"/>
    </row>
    <row r="8" spans="1:7" s="10" customFormat="1" ht="14.55" customHeight="1">
      <c r="A8" s="66"/>
      <c r="B8" s="65"/>
      <c r="C8" s="6"/>
      <c r="D8" s="64"/>
      <c r="E8" s="198"/>
      <c r="F8" s="6"/>
      <c r="G8" s="443"/>
    </row>
    <row r="9" spans="1:7" s="4" customFormat="1" ht="15.6">
      <c r="A9" s="67" t="s">
        <v>147</v>
      </c>
      <c r="B9" s="68" t="s">
        <v>146</v>
      </c>
      <c r="C9" s="69"/>
      <c r="D9" s="70"/>
      <c r="E9" s="199"/>
      <c r="F9" s="442"/>
    </row>
    <row r="10" spans="1:7" s="4" customFormat="1" ht="13.95" customHeight="1">
      <c r="A10" s="98"/>
      <c r="B10" s="99"/>
      <c r="C10" s="32"/>
      <c r="D10" s="33"/>
      <c r="E10" s="200"/>
      <c r="F10" s="436"/>
    </row>
    <row r="11" spans="1:7" s="10" customFormat="1" ht="28.95" customHeight="1">
      <c r="A11" s="511" t="s">
        <v>68</v>
      </c>
      <c r="B11" s="512" t="s">
        <v>686</v>
      </c>
      <c r="C11" s="360" t="s">
        <v>479</v>
      </c>
      <c r="D11" s="356">
        <v>1</v>
      </c>
      <c r="E11" s="513"/>
      <c r="F11" s="334">
        <f>D11*E11</f>
        <v>0</v>
      </c>
    </row>
    <row r="12" spans="1:7" s="10" customFormat="1" ht="15.6" customHeight="1">
      <c r="A12" s="514" t="s">
        <v>5</v>
      </c>
      <c r="B12" s="515" t="s">
        <v>175</v>
      </c>
      <c r="C12" s="336" t="s">
        <v>176</v>
      </c>
      <c r="D12" s="335">
        <v>0</v>
      </c>
      <c r="E12" s="516"/>
      <c r="F12" s="334">
        <f>D12*E12</f>
        <v>0</v>
      </c>
    </row>
    <row r="13" spans="1:7" s="10" customFormat="1" ht="17.55" customHeight="1" thickBot="1">
      <c r="A13" s="514" t="s">
        <v>69</v>
      </c>
      <c r="B13" s="515" t="s">
        <v>174</v>
      </c>
      <c r="C13" s="336" t="s">
        <v>176</v>
      </c>
      <c r="D13" s="335">
        <v>1</v>
      </c>
      <c r="E13" s="513"/>
      <c r="F13" s="334">
        <f>D13*E13</f>
        <v>0</v>
      </c>
    </row>
    <row r="14" spans="1:7" s="4" customFormat="1" ht="16.2" thickBot="1">
      <c r="A14" s="52"/>
      <c r="B14" s="53" t="s">
        <v>155</v>
      </c>
      <c r="C14" s="54"/>
      <c r="D14" s="55"/>
      <c r="E14" s="202"/>
      <c r="F14" s="435">
        <f>SUM(F11:F13)</f>
        <v>0</v>
      </c>
    </row>
    <row r="15" spans="1:7" s="4" customFormat="1" ht="15.6">
      <c r="B15" s="71"/>
      <c r="C15" s="22"/>
      <c r="D15" s="23"/>
      <c r="E15" s="203"/>
      <c r="F15" s="432"/>
    </row>
    <row r="16" spans="1:7" s="4" customFormat="1" ht="15.6">
      <c r="A16" s="67" t="s">
        <v>14</v>
      </c>
      <c r="B16" s="72" t="s">
        <v>148</v>
      </c>
      <c r="C16" s="73"/>
      <c r="D16" s="74"/>
      <c r="E16" s="204"/>
      <c r="F16" s="442"/>
    </row>
    <row r="17" spans="1:6" s="40" customFormat="1" ht="15.6">
      <c r="A17" s="98"/>
      <c r="B17" s="441"/>
      <c r="C17" s="440"/>
      <c r="D17" s="439"/>
      <c r="E17" s="438"/>
      <c r="F17" s="436"/>
    </row>
    <row r="18" spans="1:6" s="4" customFormat="1" ht="15.6">
      <c r="A18" s="14"/>
      <c r="B18" s="16" t="s">
        <v>80</v>
      </c>
      <c r="C18" s="22"/>
      <c r="D18" s="23"/>
      <c r="E18" s="205"/>
      <c r="F18" s="432"/>
    </row>
    <row r="19" spans="1:6" s="4" customFormat="1">
      <c r="A19" s="15" t="s">
        <v>79</v>
      </c>
      <c r="B19" s="16" t="s">
        <v>348</v>
      </c>
      <c r="C19" s="12" t="s">
        <v>7</v>
      </c>
      <c r="D19" s="50">
        <f>(26.7*3+9.88*2+7.23*2)</f>
        <v>114.32</v>
      </c>
      <c r="E19" s="201"/>
      <c r="F19" s="432"/>
    </row>
    <row r="20" spans="1:6" s="4" customFormat="1">
      <c r="A20" s="15" t="s">
        <v>81</v>
      </c>
      <c r="B20" s="16" t="s">
        <v>340</v>
      </c>
      <c r="C20" s="12" t="s">
        <v>10</v>
      </c>
      <c r="D20" s="50">
        <f>(26.7*3+9.88*2+7.23*2)*0.85*0.6</f>
        <v>58.303199999999997</v>
      </c>
      <c r="E20" s="201"/>
      <c r="F20" s="432">
        <f>D20*E20</f>
        <v>0</v>
      </c>
    </row>
    <row r="21" spans="1:6" s="4" customFormat="1" ht="17.55" customHeight="1">
      <c r="A21" s="15" t="s">
        <v>82</v>
      </c>
      <c r="B21" s="16" t="s">
        <v>83</v>
      </c>
      <c r="C21" s="12" t="s">
        <v>10</v>
      </c>
      <c r="D21" s="50">
        <f>(26.7*3+9.88*2+7.23*2)*0.65*0.45</f>
        <v>33.438600000000001</v>
      </c>
      <c r="E21" s="201"/>
      <c r="F21" s="432">
        <f>D21*E21</f>
        <v>0</v>
      </c>
    </row>
    <row r="22" spans="1:6" s="4" customFormat="1" ht="17.55" customHeight="1" thickBot="1">
      <c r="A22" s="15" t="s">
        <v>84</v>
      </c>
      <c r="B22" s="16" t="s">
        <v>85</v>
      </c>
      <c r="C22" s="12" t="s">
        <v>10</v>
      </c>
      <c r="D22" s="50">
        <f>26.27*9.88*0.88</f>
        <v>228.40188799999999</v>
      </c>
      <c r="E22" s="201"/>
      <c r="F22" s="432">
        <f>D22*E22</f>
        <v>0</v>
      </c>
    </row>
    <row r="23" spans="1:6" s="4" customFormat="1" ht="17.55" customHeight="1" thickBot="1">
      <c r="A23" s="18"/>
      <c r="B23" s="268" t="s">
        <v>156</v>
      </c>
      <c r="C23" s="19"/>
      <c r="D23" s="20"/>
      <c r="E23" s="208"/>
      <c r="F23" s="437">
        <f>SUM(F20:F22)</f>
        <v>0</v>
      </c>
    </row>
    <row r="24" spans="1:6" s="4" customFormat="1" ht="17.55" customHeight="1">
      <c r="A24" s="24" t="s">
        <v>16</v>
      </c>
      <c r="B24" s="84" t="s">
        <v>173</v>
      </c>
      <c r="C24" s="25"/>
      <c r="D24" s="13"/>
      <c r="E24" s="207"/>
      <c r="F24" s="432"/>
    </row>
    <row r="25" spans="1:6" s="4" customFormat="1" ht="17.55" customHeight="1">
      <c r="A25" s="28" t="s">
        <v>17</v>
      </c>
      <c r="B25" s="27" t="s">
        <v>172</v>
      </c>
      <c r="C25" s="12"/>
      <c r="D25" s="17"/>
      <c r="E25" s="201"/>
      <c r="F25" s="432"/>
    </row>
    <row r="26" spans="1:6" s="4" customFormat="1" ht="17.55" customHeight="1">
      <c r="A26" s="28" t="s">
        <v>86</v>
      </c>
      <c r="B26" s="29" t="s">
        <v>87</v>
      </c>
      <c r="C26" s="12" t="s">
        <v>10</v>
      </c>
      <c r="D26" s="17">
        <f>D19*0.6*0.05</f>
        <v>3.4296000000000002</v>
      </c>
      <c r="E26" s="201"/>
      <c r="F26" s="432">
        <f t="shared" ref="F26:F32" si="0">D26*E26</f>
        <v>0</v>
      </c>
    </row>
    <row r="27" spans="1:6" s="4" customFormat="1" ht="17.55" customHeight="1">
      <c r="A27" s="28" t="s">
        <v>88</v>
      </c>
      <c r="B27" s="29" t="s">
        <v>178</v>
      </c>
      <c r="C27" s="12" t="s">
        <v>10</v>
      </c>
      <c r="D27" s="17">
        <f>D19*0.6*0.1</f>
        <v>6.8592000000000004</v>
      </c>
      <c r="E27" s="201"/>
      <c r="F27" s="432">
        <f t="shared" si="0"/>
        <v>0</v>
      </c>
    </row>
    <row r="28" spans="1:6" s="4" customFormat="1" ht="17.55" customHeight="1">
      <c r="A28" s="28" t="s">
        <v>89</v>
      </c>
      <c r="B28" s="29" t="s">
        <v>362</v>
      </c>
      <c r="C28" s="12" t="s">
        <v>10</v>
      </c>
      <c r="D28" s="17">
        <f>16*0.15*0.15*1+30*0.15*0.2*1+10*0.2*0.2*1</f>
        <v>1.6600000000000001</v>
      </c>
      <c r="E28" s="201"/>
      <c r="F28" s="432">
        <f t="shared" si="0"/>
        <v>0</v>
      </c>
    </row>
    <row r="29" spans="1:6" s="4" customFormat="1" ht="17.55" customHeight="1">
      <c r="A29" s="28" t="s">
        <v>90</v>
      </c>
      <c r="B29" s="29" t="s">
        <v>363</v>
      </c>
      <c r="C29" s="12" t="s">
        <v>10</v>
      </c>
      <c r="D29" s="17">
        <f>D19*0.2*0.15</f>
        <v>3.4296000000000002</v>
      </c>
      <c r="E29" s="201"/>
      <c r="F29" s="432">
        <f t="shared" si="0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D19*1.05</f>
        <v>120.036</v>
      </c>
      <c r="E30" s="201"/>
      <c r="F30" s="432">
        <f t="shared" si="0"/>
        <v>0</v>
      </c>
    </row>
    <row r="31" spans="1:6" s="4" customFormat="1">
      <c r="A31" s="28" t="s">
        <v>92</v>
      </c>
      <c r="B31" s="29" t="s">
        <v>359</v>
      </c>
      <c r="C31" s="32" t="s">
        <v>10</v>
      </c>
      <c r="D31" s="33">
        <f>26.47*9.88*0.1</f>
        <v>26.152360000000002</v>
      </c>
      <c r="E31" s="200"/>
      <c r="F31" s="432">
        <f t="shared" si="0"/>
        <v>0</v>
      </c>
    </row>
    <row r="32" spans="1:6" s="4" customFormat="1">
      <c r="A32" s="28"/>
      <c r="B32" s="29" t="s">
        <v>93</v>
      </c>
      <c r="C32" s="12" t="s">
        <v>4</v>
      </c>
      <c r="D32" s="17">
        <f>26.47*9.88</f>
        <v>261.52359999999999</v>
      </c>
      <c r="E32" s="201"/>
      <c r="F32" s="432">
        <f t="shared" si="0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432"/>
    </row>
    <row r="34" spans="1:6" s="4" customFormat="1" ht="45">
      <c r="A34" s="28"/>
      <c r="B34" s="34" t="s">
        <v>354</v>
      </c>
      <c r="C34" s="12" t="s">
        <v>4</v>
      </c>
      <c r="D34" s="17">
        <f>26.7*0.44*4*2</f>
        <v>93.983999999999995</v>
      </c>
      <c r="E34" s="201"/>
      <c r="F34" s="432">
        <f>D34*E34</f>
        <v>0</v>
      </c>
    </row>
    <row r="35" spans="1:6" s="4" customFormat="1">
      <c r="A35" s="28"/>
      <c r="B35" s="31" t="s">
        <v>96</v>
      </c>
      <c r="C35" s="12" t="s">
        <v>10</v>
      </c>
      <c r="D35" s="17">
        <f>26.7*0.4*0.4*2</f>
        <v>8.5440000000000005</v>
      </c>
      <c r="E35" s="201"/>
      <c r="F35" s="432">
        <f>D35*E35</f>
        <v>0</v>
      </c>
    </row>
    <row r="36" spans="1:6" s="4" customFormat="1">
      <c r="A36" s="28"/>
      <c r="B36" s="31" t="s">
        <v>97</v>
      </c>
      <c r="C36" s="12" t="s">
        <v>10</v>
      </c>
      <c r="D36" s="17">
        <f>26.7*0.4*0.1*2</f>
        <v>2.1360000000000001</v>
      </c>
      <c r="E36" s="201"/>
      <c r="F36" s="432">
        <f>D36*E36</f>
        <v>0</v>
      </c>
    </row>
    <row r="37" spans="1:6" s="4" customFormat="1" ht="15.6">
      <c r="A37" s="28" t="s">
        <v>24</v>
      </c>
      <c r="B37" s="83" t="s">
        <v>149</v>
      </c>
      <c r="C37" s="22"/>
      <c r="D37" s="17"/>
      <c r="E37" s="205"/>
      <c r="F37" s="432"/>
    </row>
    <row r="38" spans="1:6" s="4" customFormat="1">
      <c r="A38" s="28" t="s">
        <v>26</v>
      </c>
      <c r="B38" s="29" t="s">
        <v>639</v>
      </c>
      <c r="C38" s="12" t="s">
        <v>4</v>
      </c>
      <c r="D38" s="17">
        <f>3*(26.7*2+7.23*4)-3*(3*1.8*1.8+2.8*1.8+1.25*1.8+3*0.9*2.2+1.4*2.2)+4*(12*1.62/2)</f>
        <v>207.74999999999997</v>
      </c>
      <c r="E38" s="201"/>
      <c r="F38" s="432">
        <f>D38*E38</f>
        <v>0</v>
      </c>
    </row>
    <row r="39" spans="1:6" s="4" customFormat="1">
      <c r="A39" s="28" t="s">
        <v>373</v>
      </c>
      <c r="B39" s="29" t="s">
        <v>98</v>
      </c>
      <c r="C39" s="12" t="s">
        <v>10</v>
      </c>
      <c r="D39" s="17">
        <f>16*0.15*0.15*3.5+30*0.2*0.15*3.5+3.5*0.2*0.2</f>
        <v>4.5499999999999989</v>
      </c>
      <c r="E39" s="201"/>
      <c r="F39" s="432">
        <f>D39*E39</f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D29+(1*0.2*0.15+1.46*0.2*0.15)*3</f>
        <v>3.6510000000000002</v>
      </c>
      <c r="E40" s="201"/>
      <c r="F40" s="432">
        <f>D40*E40</f>
        <v>0</v>
      </c>
    </row>
    <row r="41" spans="1:6" s="4" customFormat="1">
      <c r="A41" s="28" t="s">
        <v>374</v>
      </c>
      <c r="B41" s="29" t="s">
        <v>102</v>
      </c>
      <c r="C41" s="12" t="s">
        <v>10</v>
      </c>
      <c r="D41" s="17">
        <f>4*12*0.2*0.1</f>
        <v>0.96000000000000019</v>
      </c>
      <c r="E41" s="201"/>
      <c r="F41" s="432">
        <f>D41*E41</f>
        <v>0</v>
      </c>
    </row>
    <row r="42" spans="1:6" s="4" customFormat="1">
      <c r="A42" s="28" t="s">
        <v>101</v>
      </c>
      <c r="B42" s="29" t="s">
        <v>33</v>
      </c>
      <c r="C42" s="12"/>
      <c r="D42" s="17"/>
      <c r="E42" s="201"/>
      <c r="F42" s="432"/>
    </row>
    <row r="43" spans="1:6" s="4" customFormat="1">
      <c r="A43" s="28"/>
      <c r="B43" s="29" t="s">
        <v>177</v>
      </c>
      <c r="C43" s="12" t="s">
        <v>4</v>
      </c>
      <c r="D43" s="17">
        <f>(26.7*2+7.23*2)*3+9.72*2-D46-4*0.9*2.2+3*1.4+6*(12*1.6/2)</f>
        <v>225.87</v>
      </c>
      <c r="E43" s="201"/>
      <c r="F43" s="432">
        <f>D43*E43</f>
        <v>0</v>
      </c>
    </row>
    <row r="44" spans="1:6" s="4" customFormat="1">
      <c r="A44" s="28"/>
      <c r="B44" s="29" t="s">
        <v>179</v>
      </c>
      <c r="C44" s="12" t="s">
        <v>4</v>
      </c>
      <c r="D44" s="17">
        <f>3*(26.7*2+7.23*6+3.5)-D43-4*1*2.2+3*1.4*2.2+6*(12*1.6/2)</f>
        <v>133.01000000000005</v>
      </c>
      <c r="E44" s="201"/>
      <c r="F44" s="432">
        <f>D44*E44</f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432"/>
    </row>
    <row r="46" spans="1:6" s="4" customFormat="1" ht="30.6">
      <c r="A46" s="28" t="s">
        <v>29</v>
      </c>
      <c r="B46" s="51" t="s">
        <v>143</v>
      </c>
      <c r="C46" s="12" t="s">
        <v>104</v>
      </c>
      <c r="D46" s="17">
        <f>3*3*1.8*1.8+3*2.8*1.8+3*1.25*1.8</f>
        <v>51.03</v>
      </c>
      <c r="E46" s="201"/>
      <c r="F46" s="432">
        <f>D46*E46</f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432"/>
    </row>
    <row r="48" spans="1:6" s="4" customFormat="1" ht="32.25" customHeight="1">
      <c r="A48" s="28" t="s">
        <v>30</v>
      </c>
      <c r="B48" s="51" t="s">
        <v>638</v>
      </c>
      <c r="C48" s="12" t="s">
        <v>9</v>
      </c>
      <c r="D48" s="17">
        <v>3</v>
      </c>
      <c r="E48" s="201"/>
      <c r="F48" s="432">
        <f>D48*E48</f>
        <v>0</v>
      </c>
    </row>
    <row r="49" spans="1:6" s="4" customFormat="1" ht="36" customHeight="1">
      <c r="A49" s="28" t="s">
        <v>30</v>
      </c>
      <c r="B49" s="51" t="s">
        <v>638</v>
      </c>
      <c r="C49" s="12" t="s">
        <v>9</v>
      </c>
      <c r="D49" s="17">
        <v>3</v>
      </c>
      <c r="E49" s="201"/>
      <c r="F49" s="432">
        <f>D49*E49</f>
        <v>0</v>
      </c>
    </row>
    <row r="50" spans="1:6" s="4" customFormat="1" ht="21.75" customHeight="1">
      <c r="A50" s="28" t="s">
        <v>31</v>
      </c>
      <c r="B50" s="29" t="s">
        <v>152</v>
      </c>
      <c r="C50" s="12" t="s">
        <v>9</v>
      </c>
      <c r="D50" s="17">
        <v>3</v>
      </c>
      <c r="E50" s="201"/>
      <c r="F50" s="432">
        <f>D50*E50</f>
        <v>0</v>
      </c>
    </row>
    <row r="51" spans="1:6" s="4" customFormat="1" ht="15.6">
      <c r="A51" s="28" t="s">
        <v>108</v>
      </c>
      <c r="B51" s="27" t="s">
        <v>36</v>
      </c>
      <c r="C51" s="12"/>
      <c r="D51" s="17"/>
      <c r="E51" s="201"/>
      <c r="F51" s="432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432">
        <f t="shared" ref="F52:F57" si="1">D52*E52</f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432">
        <f t="shared" si="1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432">
        <f t="shared" si="1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432">
        <f t="shared" si="1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432">
        <f t="shared" si="1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432">
        <f t="shared" si="1"/>
        <v>0</v>
      </c>
    </row>
    <row r="58" spans="1:6" s="4" customFormat="1" ht="15.6">
      <c r="A58" s="28" t="s">
        <v>112</v>
      </c>
      <c r="B58" s="27" t="s">
        <v>114</v>
      </c>
      <c r="C58" s="12"/>
      <c r="D58" s="17"/>
      <c r="E58" s="201"/>
      <c r="F58" s="432"/>
    </row>
    <row r="59" spans="1:6" s="4" customFormat="1">
      <c r="A59" s="28" t="s">
        <v>113</v>
      </c>
      <c r="B59" s="85" t="s">
        <v>389</v>
      </c>
      <c r="C59" s="12" t="s">
        <v>9</v>
      </c>
      <c r="D59" s="17">
        <v>3</v>
      </c>
      <c r="E59" s="201"/>
      <c r="F59" s="432">
        <f>D59*E59</f>
        <v>0</v>
      </c>
    </row>
    <row r="60" spans="1:6" s="4" customFormat="1" ht="15.6" thickBot="1">
      <c r="A60" s="28" t="s">
        <v>284</v>
      </c>
      <c r="B60" s="85" t="s">
        <v>637</v>
      </c>
      <c r="C60" s="12" t="s">
        <v>9</v>
      </c>
      <c r="D60" s="17">
        <v>3</v>
      </c>
      <c r="E60" s="201"/>
      <c r="F60" s="432">
        <f>D60*E60</f>
        <v>0</v>
      </c>
    </row>
    <row r="61" spans="1:6" s="4" customFormat="1" ht="17.55" customHeight="1" thickBot="1">
      <c r="A61" s="18"/>
      <c r="B61" s="91" t="s">
        <v>115</v>
      </c>
      <c r="C61" s="19"/>
      <c r="D61" s="20"/>
      <c r="E61" s="208"/>
      <c r="F61" s="437">
        <f>SUM(F26:F60)</f>
        <v>0</v>
      </c>
    </row>
    <row r="62" spans="1:6" s="4" customFormat="1" ht="16.2" thickBot="1">
      <c r="A62" s="52"/>
      <c r="B62" s="53" t="s">
        <v>153</v>
      </c>
      <c r="C62" s="54"/>
      <c r="D62" s="55"/>
      <c r="E62" s="206"/>
      <c r="F62" s="435">
        <f>F23+F61</f>
        <v>0</v>
      </c>
    </row>
    <row r="63" spans="1:6" s="40" customFormat="1" ht="15.6">
      <c r="A63" s="37"/>
      <c r="B63" s="38"/>
      <c r="C63" s="39"/>
      <c r="D63" s="33"/>
      <c r="E63" s="200"/>
      <c r="F63" s="436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433"/>
    </row>
    <row r="65" spans="1:6" s="40" customFormat="1" ht="15.6">
      <c r="A65" s="86"/>
      <c r="B65" s="244"/>
      <c r="C65" s="32"/>
      <c r="D65" s="33"/>
      <c r="E65" s="200"/>
      <c r="F65" s="436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432"/>
    </row>
    <row r="67" spans="1:6" s="4" customFormat="1">
      <c r="A67" s="15" t="s">
        <v>119</v>
      </c>
      <c r="B67" s="16" t="s">
        <v>120</v>
      </c>
      <c r="C67" s="12" t="s">
        <v>10</v>
      </c>
      <c r="D67" s="17">
        <f>(27.7*9.88)/100</f>
        <v>2.7367599999999999</v>
      </c>
      <c r="E67" s="210"/>
      <c r="F67" s="432">
        <f>D67*E67</f>
        <v>0</v>
      </c>
    </row>
    <row r="68" spans="1:6" s="4" customFormat="1" ht="15.6" thickBot="1">
      <c r="A68" s="15" t="s">
        <v>121</v>
      </c>
      <c r="B68" s="16" t="s">
        <v>122</v>
      </c>
      <c r="C68" s="12" t="s">
        <v>9</v>
      </c>
      <c r="D68" s="17">
        <v>12</v>
      </c>
      <c r="E68" s="201"/>
      <c r="F68" s="432">
        <f>D68*E68</f>
        <v>0</v>
      </c>
    </row>
    <row r="69" spans="1:6" s="4" customFormat="1" ht="16.2" thickBot="1">
      <c r="A69" s="56"/>
      <c r="B69" s="53" t="s">
        <v>154</v>
      </c>
      <c r="C69" s="57"/>
      <c r="D69" s="58"/>
      <c r="E69" s="211"/>
      <c r="F69" s="435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432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433"/>
    </row>
    <row r="72" spans="1:6" s="4" customFormat="1" ht="15.6">
      <c r="A72" s="26"/>
      <c r="B72" s="42"/>
      <c r="C72" s="12"/>
      <c r="D72" s="17"/>
      <c r="E72" s="201"/>
      <c r="F72" s="432"/>
    </row>
    <row r="73" spans="1:6" s="4" customFormat="1" ht="15.6">
      <c r="A73" s="28" t="s">
        <v>123</v>
      </c>
      <c r="B73" s="42" t="s">
        <v>161</v>
      </c>
      <c r="C73" s="12"/>
      <c r="D73" s="17"/>
      <c r="E73" s="201"/>
      <c r="F73" s="432"/>
    </row>
    <row r="74" spans="1:6" s="4" customFormat="1">
      <c r="A74" s="28" t="s">
        <v>124</v>
      </c>
      <c r="B74" s="29" t="s">
        <v>679</v>
      </c>
      <c r="C74" s="12" t="s">
        <v>4</v>
      </c>
      <c r="D74" s="17">
        <f>27.7*12</f>
        <v>332.4</v>
      </c>
      <c r="E74" s="201"/>
      <c r="F74" s="432">
        <f>D74*E74</f>
        <v>0</v>
      </c>
    </row>
    <row r="75" spans="1:6" s="4" customFormat="1" ht="15.6">
      <c r="A75" s="28" t="s">
        <v>125</v>
      </c>
      <c r="B75" s="42" t="s">
        <v>126</v>
      </c>
      <c r="C75" s="12"/>
      <c r="D75" s="17"/>
      <c r="E75" s="201"/>
      <c r="F75" s="432"/>
    </row>
    <row r="76" spans="1:6" s="4" customFormat="1" ht="15.6">
      <c r="A76" s="28" t="s">
        <v>127</v>
      </c>
      <c r="B76" s="29" t="s">
        <v>680</v>
      </c>
      <c r="C76" s="12" t="s">
        <v>7</v>
      </c>
      <c r="D76" s="17">
        <v>27.7</v>
      </c>
      <c r="E76" s="201"/>
      <c r="F76" s="432">
        <f>D76*E76</f>
        <v>0</v>
      </c>
    </row>
    <row r="77" spans="1:6" s="4" customFormat="1" ht="15.6">
      <c r="A77" s="28" t="s">
        <v>128</v>
      </c>
      <c r="B77" s="42" t="s">
        <v>130</v>
      </c>
      <c r="C77" s="22"/>
      <c r="D77" s="17"/>
      <c r="E77" s="205"/>
      <c r="F77" s="432"/>
    </row>
    <row r="78" spans="1:6" s="4" customFormat="1" ht="15.6" thickBot="1">
      <c r="A78" s="35" t="s">
        <v>129</v>
      </c>
      <c r="B78" s="29" t="s">
        <v>360</v>
      </c>
      <c r="C78" s="36" t="s">
        <v>4</v>
      </c>
      <c r="D78" s="17">
        <f>(27.7*2+6*4)*0.4</f>
        <v>31.760000000000005</v>
      </c>
      <c r="E78" s="212"/>
      <c r="F78" s="432">
        <f>D78*E78</f>
        <v>0</v>
      </c>
    </row>
    <row r="79" spans="1:6" s="4" customFormat="1" ht="16.2" thickBot="1">
      <c r="A79" s="56"/>
      <c r="B79" s="53" t="s">
        <v>157</v>
      </c>
      <c r="C79" s="54"/>
      <c r="D79" s="55"/>
      <c r="E79" s="206"/>
      <c r="F79" s="435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432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433"/>
    </row>
    <row r="82" spans="1:6" s="4" customFormat="1" ht="15.6">
      <c r="A82" s="14"/>
      <c r="B82" s="43"/>
      <c r="C82" s="12"/>
      <c r="D82" s="17"/>
      <c r="E82" s="201"/>
      <c r="F82" s="432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432"/>
    </row>
    <row r="84" spans="1:6" s="4" customFormat="1" ht="15.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432">
        <f>D84*E84</f>
        <v>0</v>
      </c>
    </row>
    <row r="85" spans="1:6" s="4" customFormat="1" ht="16.2" thickBot="1">
      <c r="A85" s="81"/>
      <c r="B85" s="82" t="s">
        <v>158</v>
      </c>
      <c r="C85" s="79"/>
      <c r="D85" s="78"/>
      <c r="E85" s="213"/>
      <c r="F85" s="434">
        <f>F84</f>
        <v>0</v>
      </c>
    </row>
    <row r="86" spans="1:6" s="4" customFormat="1" ht="15.6">
      <c r="A86" s="41"/>
      <c r="B86" s="42"/>
      <c r="C86" s="45"/>
      <c r="D86" s="46"/>
      <c r="E86" s="207"/>
      <c r="F86" s="432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433"/>
    </row>
    <row r="88" spans="1:6" s="4" customFormat="1" ht="15.6">
      <c r="A88" s="14"/>
      <c r="B88" s="47"/>
      <c r="C88" s="22"/>
      <c r="D88" s="23"/>
      <c r="E88" s="205"/>
      <c r="F88" s="432"/>
    </row>
    <row r="89" spans="1:6" s="4" customFormat="1" ht="15.6">
      <c r="A89" s="15" t="s">
        <v>325</v>
      </c>
      <c r="B89" s="47" t="s">
        <v>134</v>
      </c>
      <c r="C89" s="12"/>
      <c r="D89" s="17"/>
      <c r="E89" s="201"/>
      <c r="F89" s="432"/>
    </row>
    <row r="90" spans="1:6" s="4" customFormat="1">
      <c r="A90" s="15" t="s">
        <v>326</v>
      </c>
      <c r="B90" s="16" t="s">
        <v>344</v>
      </c>
      <c r="C90" s="12" t="s">
        <v>9</v>
      </c>
      <c r="D90" s="17">
        <v>3</v>
      </c>
      <c r="E90" s="201"/>
      <c r="F90" s="432">
        <f>D90*E90</f>
        <v>0</v>
      </c>
    </row>
    <row r="91" spans="1:6" s="4" customFormat="1">
      <c r="A91" s="15" t="s">
        <v>326</v>
      </c>
      <c r="B91" s="16" t="s">
        <v>636</v>
      </c>
      <c r="C91" s="12" t="s">
        <v>9</v>
      </c>
      <c r="D91" s="17">
        <v>3</v>
      </c>
      <c r="E91" s="201"/>
      <c r="F91" s="432">
        <f>D91*E91</f>
        <v>0</v>
      </c>
    </row>
    <row r="92" spans="1:6" s="4" customFormat="1" ht="15.6">
      <c r="A92" s="15" t="s">
        <v>377</v>
      </c>
      <c r="B92" s="47" t="s">
        <v>135</v>
      </c>
      <c r="C92" s="12"/>
      <c r="D92" s="17"/>
      <c r="E92" s="201"/>
      <c r="F92" s="432"/>
    </row>
    <row r="93" spans="1:6" s="4" customFormat="1" ht="15.6" thickBot="1">
      <c r="A93" s="15" t="s">
        <v>378</v>
      </c>
      <c r="B93" s="16" t="s">
        <v>361</v>
      </c>
      <c r="C93" s="12" t="s">
        <v>9</v>
      </c>
      <c r="D93" s="17">
        <v>3</v>
      </c>
      <c r="E93" s="201"/>
      <c r="F93" s="432">
        <f>D93*E93</f>
        <v>0</v>
      </c>
    </row>
    <row r="94" spans="1:6" s="4" customFormat="1" ht="16.2" thickBot="1">
      <c r="A94" s="81"/>
      <c r="B94" s="76" t="s">
        <v>159</v>
      </c>
      <c r="C94" s="77"/>
      <c r="D94" s="80"/>
      <c r="E94" s="215"/>
      <c r="F94" s="434">
        <f>SUM(F90:F93)</f>
        <v>0</v>
      </c>
    </row>
    <row r="95" spans="1:6" s="4" customFormat="1" ht="15.6">
      <c r="A95" s="14"/>
      <c r="B95" s="11"/>
      <c r="C95" s="12"/>
      <c r="D95" s="17"/>
      <c r="E95" s="201"/>
      <c r="F95" s="432"/>
    </row>
    <row r="96" spans="1:6" s="4" customFormat="1" ht="15.6">
      <c r="A96" s="93" t="s">
        <v>72</v>
      </c>
      <c r="B96" s="97" t="s">
        <v>11</v>
      </c>
      <c r="C96" s="88"/>
      <c r="D96" s="96"/>
      <c r="E96" s="214"/>
      <c r="F96" s="433"/>
    </row>
    <row r="97" spans="1:7" s="4" customFormat="1" ht="15.6">
      <c r="A97" s="14"/>
      <c r="B97" s="11"/>
      <c r="C97" s="12"/>
      <c r="D97" s="23"/>
      <c r="E97" s="205"/>
      <c r="F97" s="432"/>
    </row>
    <row r="98" spans="1:7" s="30" customFormat="1" ht="15.6">
      <c r="A98" s="15" t="s">
        <v>132</v>
      </c>
      <c r="B98" s="47" t="s">
        <v>137</v>
      </c>
      <c r="C98" s="49"/>
      <c r="D98" s="46"/>
      <c r="E98" s="216"/>
      <c r="F98" s="432"/>
      <c r="G98" s="4"/>
    </row>
    <row r="99" spans="1:7" s="30" customFormat="1">
      <c r="A99" s="15" t="s">
        <v>163</v>
      </c>
      <c r="B99" s="48" t="s">
        <v>59</v>
      </c>
      <c r="C99" s="12" t="s">
        <v>4</v>
      </c>
      <c r="D99" s="17">
        <f>(26.7*2+7.23*2)*2</f>
        <v>135.72</v>
      </c>
      <c r="E99" s="201"/>
      <c r="F99" s="432">
        <f>D99*E99</f>
        <v>0</v>
      </c>
      <c r="G99" s="4"/>
    </row>
    <row r="100" spans="1:7" s="30" customFormat="1" ht="30.6">
      <c r="A100" s="15" t="s">
        <v>381</v>
      </c>
      <c r="B100" s="48" t="s">
        <v>138</v>
      </c>
      <c r="C100" s="12" t="s">
        <v>4</v>
      </c>
      <c r="D100" s="17">
        <f>1.5*(26.7*2+7.23*2)</f>
        <v>101.78999999999999</v>
      </c>
      <c r="E100" s="201"/>
      <c r="F100" s="432">
        <f>D100*E100</f>
        <v>0</v>
      </c>
      <c r="G100" s="4"/>
    </row>
    <row r="101" spans="1:7" s="4" customFormat="1" ht="15.6">
      <c r="A101" s="15" t="s">
        <v>133</v>
      </c>
      <c r="B101" s="47" t="s">
        <v>139</v>
      </c>
      <c r="C101" s="12"/>
      <c r="D101" s="17"/>
      <c r="E101" s="201"/>
      <c r="F101" s="432"/>
    </row>
    <row r="102" spans="1:7" s="4" customFormat="1">
      <c r="A102" s="15" t="s">
        <v>164</v>
      </c>
      <c r="B102" s="48" t="s">
        <v>60</v>
      </c>
      <c r="C102" s="12" t="s">
        <v>4</v>
      </c>
      <c r="D102" s="17">
        <f>3.5*(26.7*2+7.23*6)</f>
        <v>338.73</v>
      </c>
      <c r="E102" s="201"/>
      <c r="F102" s="432">
        <f>D102*E102</f>
        <v>0</v>
      </c>
    </row>
    <row r="103" spans="1:7" s="4" customFormat="1" ht="15.6">
      <c r="A103" s="16" t="s">
        <v>382</v>
      </c>
      <c r="B103" s="47" t="s">
        <v>140</v>
      </c>
      <c r="C103" s="12"/>
      <c r="D103" s="17"/>
      <c r="E103" s="205"/>
      <c r="F103" s="432"/>
    </row>
    <row r="104" spans="1:7" s="4" customFormat="1" ht="15" customHeight="1">
      <c r="A104" s="16" t="s">
        <v>385</v>
      </c>
      <c r="B104" s="48" t="s">
        <v>141</v>
      </c>
      <c r="C104" s="12" t="s">
        <v>4</v>
      </c>
      <c r="D104" s="17">
        <f>3*1.45*2.2*2+4*2*1*2.2</f>
        <v>36.74</v>
      </c>
      <c r="E104" s="201"/>
      <c r="F104" s="432">
        <f>D104*E104</f>
        <v>0</v>
      </c>
    </row>
    <row r="105" spans="1:7" s="4" customFormat="1" ht="15.6">
      <c r="A105" s="16" t="s">
        <v>635</v>
      </c>
      <c r="B105" s="47" t="s">
        <v>345</v>
      </c>
      <c r="C105" s="12"/>
      <c r="D105" s="17"/>
      <c r="E105" s="201"/>
      <c r="F105" s="432"/>
    </row>
    <row r="106" spans="1:7" s="4" customFormat="1">
      <c r="A106" s="16" t="s">
        <v>634</v>
      </c>
      <c r="B106" s="48" t="s">
        <v>390</v>
      </c>
      <c r="C106" s="12" t="s">
        <v>4</v>
      </c>
      <c r="D106" s="17">
        <f>6*1.4*3+3*3*1.4</f>
        <v>37.799999999999997</v>
      </c>
      <c r="E106" s="201"/>
      <c r="F106" s="432">
        <f>D106*E106</f>
        <v>0</v>
      </c>
    </row>
    <row r="107" spans="1:7" s="4" customFormat="1" ht="15.6" thickBot="1">
      <c r="A107" s="16" t="s">
        <v>633</v>
      </c>
      <c r="B107" s="48" t="s">
        <v>142</v>
      </c>
      <c r="C107" s="12" t="s">
        <v>4</v>
      </c>
      <c r="D107" s="17">
        <f>6*1.4*3+3*3*1.4</f>
        <v>37.799999999999997</v>
      </c>
      <c r="E107" s="201"/>
      <c r="F107" s="432">
        <f>D107*E107</f>
        <v>0</v>
      </c>
    </row>
    <row r="108" spans="1:7" s="4" customFormat="1" ht="16.2" thickBot="1">
      <c r="A108" s="75"/>
      <c r="B108" s="76" t="s">
        <v>160</v>
      </c>
      <c r="C108" s="77"/>
      <c r="D108" s="78"/>
      <c r="E108" s="79"/>
      <c r="F108" s="431">
        <f>SUM(F98:F107)</f>
        <v>0</v>
      </c>
    </row>
    <row r="109" spans="1:7" s="40" customFormat="1" ht="16.2" thickBot="1">
      <c r="A109" s="189"/>
      <c r="B109" s="190"/>
      <c r="C109" s="191"/>
      <c r="D109" s="192"/>
      <c r="E109" s="193"/>
      <c r="F109" s="429"/>
    </row>
    <row r="110" spans="1:7" s="4" customFormat="1" ht="16.2" thickBot="1">
      <c r="A110" s="59"/>
      <c r="B110" s="60" t="s">
        <v>632</v>
      </c>
      <c r="C110" s="61"/>
      <c r="D110" s="62"/>
      <c r="E110" s="63"/>
      <c r="F110" s="428">
        <f>F108+F94+F85+F79+F69+F62+F14</f>
        <v>0</v>
      </c>
    </row>
    <row r="111" spans="1:7" s="40" customFormat="1" ht="16.2" thickBot="1">
      <c r="A111" s="189"/>
      <c r="B111" s="430"/>
      <c r="C111" s="191"/>
      <c r="D111" s="192"/>
      <c r="E111" s="193"/>
      <c r="F111" s="429"/>
    </row>
    <row r="112" spans="1:7" s="4" customFormat="1" ht="16.2" thickBot="1">
      <c r="A112" s="59"/>
      <c r="B112" s="60" t="s">
        <v>346</v>
      </c>
      <c r="C112" s="61"/>
      <c r="D112" s="194">
        <v>0.1</v>
      </c>
      <c r="E112" s="63"/>
      <c r="F112" s="428">
        <f>F110*D112</f>
        <v>0</v>
      </c>
    </row>
    <row r="113" spans="1:6" s="40" customFormat="1" ht="16.2" thickBot="1">
      <c r="A113" s="31"/>
      <c r="B113" s="244"/>
      <c r="C113" s="249"/>
      <c r="D113" s="250"/>
      <c r="E113" s="251"/>
      <c r="F113" s="427"/>
    </row>
    <row r="114" spans="1:6" s="4" customFormat="1" ht="16.2" thickBot="1">
      <c r="A114" s="59"/>
      <c r="B114" s="60" t="s">
        <v>631</v>
      </c>
      <c r="C114" s="61"/>
      <c r="D114" s="62"/>
      <c r="E114" s="63"/>
      <c r="F114" s="428">
        <f>F112+F110</f>
        <v>0</v>
      </c>
    </row>
    <row r="115" spans="1:6" s="40" customFormat="1" ht="15.6">
      <c r="A115" s="31"/>
      <c r="B115" s="244"/>
      <c r="C115" s="249"/>
      <c r="D115" s="250"/>
      <c r="E115" s="251"/>
      <c r="F115" s="427"/>
    </row>
  </sheetData>
  <sheetProtection selectLockedCells="1"/>
  <mergeCells count="2">
    <mergeCell ref="B4:C4"/>
    <mergeCell ref="A5:F5"/>
  </mergeCells>
  <pageMargins left="0.7" right="0.7" top="0.75" bottom="0.75" header="0.3" footer="0.3"/>
  <pageSetup paperSize="9" scale="52" fitToHeight="4" orientation="portrait" r:id="rId1"/>
  <rowBreaks count="1" manualBreakCount="1">
    <brk id="7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131" zoomScaleNormal="100" zoomScaleSheetLayoutView="100" workbookViewId="0">
      <selection activeCell="G156" sqref="G156"/>
    </sheetView>
  </sheetViews>
  <sheetFormatPr baseColWidth="10" defaultRowHeight="14.4"/>
  <cols>
    <col min="2" max="2" width="53.21875" customWidth="1"/>
    <col min="3" max="3" width="7.21875" customWidth="1"/>
    <col min="6" max="6" width="15.5546875" customWidth="1"/>
  </cols>
  <sheetData>
    <row r="1" spans="1:6" ht="89.55" customHeight="1">
      <c r="A1" s="531"/>
      <c r="B1" s="531"/>
      <c r="C1" s="531"/>
      <c r="D1" s="531"/>
      <c r="E1" s="531"/>
      <c r="F1" s="531"/>
    </row>
    <row r="2" spans="1:6">
      <c r="D2" s="188"/>
    </row>
    <row r="3" spans="1:6" s="197" customFormat="1" ht="17.25" customHeight="1">
      <c r="A3" s="532" t="s">
        <v>352</v>
      </c>
      <c r="B3" s="533"/>
      <c r="C3" s="533"/>
      <c r="D3" s="533"/>
      <c r="E3" s="533"/>
      <c r="F3" s="534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29.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6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181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339</v>
      </c>
      <c r="C8" s="128" t="s">
        <v>182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175</v>
      </c>
      <c r="C9" s="128" t="s">
        <v>182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182</v>
      </c>
      <c r="D10" s="129">
        <v>1</v>
      </c>
      <c r="E10" s="219"/>
      <c r="F10" s="130">
        <f>D10*E10</f>
        <v>0</v>
      </c>
    </row>
    <row r="11" spans="1:6" s="29" customFormat="1" ht="15.6">
      <c r="A11" s="118"/>
      <c r="B11" s="131" t="s">
        <v>183</v>
      </c>
      <c r="C11" s="132"/>
      <c r="D11" s="133"/>
      <c r="E11" s="220"/>
      <c r="F11" s="134">
        <f>SUM(F8:F10)</f>
        <v>0</v>
      </c>
    </row>
    <row r="12" spans="1:6" s="29" customFormat="1" ht="15.6">
      <c r="A12" s="118"/>
      <c r="B12" s="119"/>
      <c r="C12" s="120"/>
      <c r="D12" s="135"/>
      <c r="E12" s="221"/>
      <c r="F12" s="136"/>
    </row>
    <row r="13" spans="1:6" s="29" customFormat="1" ht="15.6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184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350</v>
      </c>
      <c r="C15" s="142" t="s">
        <v>282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185</v>
      </c>
      <c r="C16" s="142" t="s">
        <v>282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186</v>
      </c>
      <c r="C17" s="142" t="s">
        <v>282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6">
      <c r="A18" s="144"/>
      <c r="B18" s="145" t="s">
        <v>187</v>
      </c>
      <c r="C18" s="146"/>
      <c r="D18" s="147"/>
      <c r="E18" s="224"/>
      <c r="F18" s="148">
        <f>SUM(F15:F17)</f>
        <v>0</v>
      </c>
    </row>
    <row r="19" spans="1:6" s="29" customFormat="1" ht="15.6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188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88</v>
      </c>
      <c r="B22" s="127" t="s">
        <v>189</v>
      </c>
      <c r="C22" s="128"/>
      <c r="D22" s="143"/>
      <c r="E22" s="223"/>
      <c r="F22" s="130"/>
    </row>
    <row r="23" spans="1:6" s="31" customFormat="1" ht="17.25" customHeight="1">
      <c r="A23" s="126" t="s">
        <v>190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191</v>
      </c>
      <c r="B24" s="127" t="s">
        <v>351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89</v>
      </c>
      <c r="B25" s="127" t="s">
        <v>192</v>
      </c>
      <c r="C25" s="128"/>
      <c r="D25" s="143"/>
      <c r="E25" s="223"/>
      <c r="F25" s="130"/>
    </row>
    <row r="26" spans="1:6" s="31" customFormat="1" ht="17.25" customHeight="1">
      <c r="A26" s="126" t="s">
        <v>193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191</v>
      </c>
      <c r="B27" s="127" t="s">
        <v>351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194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90</v>
      </c>
      <c r="B29" s="127" t="s">
        <v>195</v>
      </c>
      <c r="C29" s="128"/>
      <c r="D29" s="143"/>
      <c r="E29" s="223"/>
      <c r="F29" s="130"/>
    </row>
    <row r="30" spans="1:6" s="31" customFormat="1" ht="17.25" customHeight="1">
      <c r="A30" s="126" t="s">
        <v>196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197</v>
      </c>
      <c r="B31" s="127" t="s">
        <v>351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198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91</v>
      </c>
      <c r="B33" s="127" t="s">
        <v>199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92</v>
      </c>
      <c r="B34" s="127" t="s">
        <v>200</v>
      </c>
      <c r="C34" s="128"/>
      <c r="D34" s="143"/>
      <c r="E34" s="223"/>
      <c r="F34" s="130"/>
    </row>
    <row r="35" spans="1:6" s="29" customFormat="1" ht="17.25" customHeight="1">
      <c r="A35" s="152" t="s">
        <v>201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201</v>
      </c>
      <c r="B36" s="127" t="s">
        <v>364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202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150</v>
      </c>
      <c r="B40" s="127" t="s">
        <v>203</v>
      </c>
      <c r="C40" s="128"/>
      <c r="D40" s="143"/>
      <c r="E40" s="223"/>
      <c r="F40" s="130"/>
    </row>
    <row r="41" spans="1:6" s="31" customFormat="1" ht="17.25" customHeight="1">
      <c r="A41" s="126" t="s">
        <v>204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205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206</v>
      </c>
      <c r="B43" s="127" t="s">
        <v>207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208</v>
      </c>
      <c r="C44" s="154"/>
      <c r="D44" s="121"/>
      <c r="E44" s="222"/>
      <c r="F44" s="136"/>
    </row>
    <row r="45" spans="1:6" s="29" customFormat="1" ht="17.25" customHeight="1">
      <c r="A45" s="152" t="s">
        <v>209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210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211</v>
      </c>
      <c r="B47" s="127" t="s">
        <v>207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212</v>
      </c>
      <c r="C48" s="154"/>
      <c r="D48" s="121"/>
      <c r="E48" s="222"/>
      <c r="F48" s="136"/>
    </row>
    <row r="49" spans="1:6" s="29" customFormat="1" ht="17.25" customHeight="1">
      <c r="A49" s="152" t="s">
        <v>213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214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215</v>
      </c>
      <c r="B51" s="127" t="s">
        <v>207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216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217</v>
      </c>
      <c r="B54" s="153" t="s">
        <v>218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219</v>
      </c>
      <c r="B55" s="153" t="s">
        <v>220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221</v>
      </c>
      <c r="B56" s="153" t="s">
        <v>222</v>
      </c>
      <c r="C56" s="154" t="s">
        <v>283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223</v>
      </c>
      <c r="B59" s="153" t="s">
        <v>349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108</v>
      </c>
      <c r="B62" s="159" t="s">
        <v>224</v>
      </c>
      <c r="C62" s="154"/>
      <c r="D62" s="121"/>
      <c r="E62" s="222"/>
      <c r="F62" s="136"/>
    </row>
    <row r="63" spans="1:6" s="29" customFormat="1" ht="17.25" customHeight="1">
      <c r="A63" s="152" t="s">
        <v>109</v>
      </c>
      <c r="B63" s="160" t="s">
        <v>225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226</v>
      </c>
      <c r="B64" s="161" t="s">
        <v>227</v>
      </c>
      <c r="C64" s="154"/>
      <c r="D64" s="121"/>
      <c r="E64" s="222"/>
      <c r="F64" s="136"/>
    </row>
    <row r="65" spans="1:6" s="29" customFormat="1" ht="17.25" hidden="1" customHeight="1">
      <c r="A65" s="152" t="s">
        <v>228</v>
      </c>
      <c r="B65" s="153" t="s">
        <v>229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230</v>
      </c>
      <c r="B66" s="153" t="s">
        <v>231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232</v>
      </c>
      <c r="B67" s="153" t="s">
        <v>233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234</v>
      </c>
      <c r="B68" s="153" t="s">
        <v>235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236</v>
      </c>
      <c r="B69" s="153" t="s">
        <v>237</v>
      </c>
      <c r="C69" s="154"/>
      <c r="D69" s="121"/>
      <c r="E69" s="222"/>
      <c r="F69" s="136"/>
    </row>
    <row r="70" spans="1:6" s="29" customFormat="1" ht="17.25" hidden="1" customHeight="1">
      <c r="A70" s="152" t="s">
        <v>238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239</v>
      </c>
      <c r="B71" s="153" t="s">
        <v>240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241</v>
      </c>
      <c r="B72" s="153" t="s">
        <v>100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242</v>
      </c>
      <c r="B73" s="153" t="s">
        <v>243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6">
      <c r="A75" s="152"/>
      <c r="B75" s="163"/>
      <c r="C75" s="120"/>
      <c r="D75" s="135"/>
      <c r="E75" s="221"/>
      <c r="F75" s="136"/>
    </row>
    <row r="76" spans="1:6" s="29" customFormat="1" ht="15.6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6">
      <c r="A77" s="152"/>
      <c r="B77" s="164"/>
      <c r="C77" s="120"/>
      <c r="D77" s="135"/>
      <c r="E77" s="221"/>
      <c r="F77" s="136"/>
    </row>
    <row r="78" spans="1:6" s="29" customFormat="1" ht="15.6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6">
      <c r="A79" s="152" t="s">
        <v>116</v>
      </c>
      <c r="B79" s="153" t="s">
        <v>117</v>
      </c>
      <c r="C79" s="154"/>
      <c r="D79" s="165"/>
      <c r="E79" s="226"/>
      <c r="F79" s="136"/>
    </row>
    <row r="80" spans="1:6" s="29" customFormat="1" ht="15.6">
      <c r="A80" s="152" t="s">
        <v>118</v>
      </c>
      <c r="B80" s="153" t="s">
        <v>244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6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6">
      <c r="A82" s="118"/>
      <c r="B82" s="164"/>
      <c r="C82" s="120"/>
      <c r="D82" s="135"/>
      <c r="E82" s="221"/>
      <c r="F82" s="136"/>
    </row>
    <row r="83" spans="1:6" s="29" customFormat="1" ht="15.6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6">
      <c r="A84" s="152" t="s">
        <v>123</v>
      </c>
      <c r="B84" s="153" t="s">
        <v>43</v>
      </c>
      <c r="C84" s="120"/>
      <c r="D84" s="135"/>
      <c r="E84" s="221"/>
      <c r="F84" s="136"/>
    </row>
    <row r="85" spans="1:6" s="29" customFormat="1" ht="15.6">
      <c r="A85" s="152" t="s">
        <v>124</v>
      </c>
      <c r="B85" s="158" t="s">
        <v>44</v>
      </c>
      <c r="C85" s="120"/>
      <c r="D85" s="135"/>
      <c r="E85" s="221"/>
      <c r="F85" s="136"/>
    </row>
    <row r="86" spans="1:6" s="29" customFormat="1" ht="15.6">
      <c r="A86" s="152" t="s">
        <v>145</v>
      </c>
      <c r="B86" s="153" t="s">
        <v>681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6">
      <c r="A87" s="152" t="s">
        <v>125</v>
      </c>
      <c r="B87" s="158" t="s">
        <v>126</v>
      </c>
      <c r="C87" s="154"/>
      <c r="D87" s="121"/>
      <c r="E87" s="226"/>
      <c r="F87" s="136"/>
    </row>
    <row r="88" spans="1:6" s="29" customFormat="1" ht="15.6">
      <c r="A88" s="152" t="s">
        <v>127</v>
      </c>
      <c r="B88" s="153" t="s">
        <v>245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6">
      <c r="A89" s="152" t="s">
        <v>246</v>
      </c>
      <c r="B89" s="158" t="s">
        <v>45</v>
      </c>
      <c r="C89" s="166"/>
      <c r="D89" s="167"/>
      <c r="E89" s="226"/>
      <c r="F89" s="136"/>
    </row>
    <row r="90" spans="1:6" s="29" customFormat="1" ht="15.6">
      <c r="A90" s="152" t="s">
        <v>247</v>
      </c>
      <c r="B90" s="153" t="s">
        <v>248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6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6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6">
      <c r="A95" s="172" t="s">
        <v>50</v>
      </c>
      <c r="B95" s="153" t="s">
        <v>249</v>
      </c>
      <c r="C95" s="154" t="s">
        <v>182</v>
      </c>
      <c r="D95" s="121">
        <v>1</v>
      </c>
      <c r="E95" s="226"/>
      <c r="F95" s="136">
        <f>D95*E95</f>
        <v>0</v>
      </c>
    </row>
    <row r="96" spans="1:6" s="29" customFormat="1" ht="15.6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6">
      <c r="A97" s="152"/>
      <c r="B97" s="139"/>
      <c r="C97" s="139"/>
      <c r="D97" s="173"/>
      <c r="E97" s="228"/>
      <c r="F97" s="136"/>
    </row>
    <row r="98" spans="1:6" s="29" customFormat="1" ht="15.6">
      <c r="A98" s="122" t="s">
        <v>53</v>
      </c>
      <c r="B98" s="123" t="s">
        <v>250</v>
      </c>
      <c r="C98" s="124"/>
      <c r="D98" s="125"/>
      <c r="E98" s="218"/>
      <c r="F98" s="124"/>
    </row>
    <row r="99" spans="1:6" s="29" customFormat="1" ht="19.95" customHeight="1">
      <c r="A99" s="172" t="s">
        <v>133</v>
      </c>
      <c r="B99" s="174" t="s">
        <v>251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6">
      <c r="A100" s="172" t="s">
        <v>132</v>
      </c>
      <c r="B100" s="176" t="s">
        <v>252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6">
      <c r="A101" s="172"/>
      <c r="B101" s="176"/>
      <c r="C101" s="120"/>
      <c r="D101" s="135"/>
      <c r="E101" s="221"/>
      <c r="F101" s="136"/>
    </row>
    <row r="102" spans="1:6" s="29" customFormat="1" ht="15.6">
      <c r="A102" s="152"/>
      <c r="B102" s="131" t="s">
        <v>253</v>
      </c>
      <c r="C102" s="177"/>
      <c r="D102" s="133"/>
      <c r="E102" s="220"/>
      <c r="F102" s="134">
        <f>SUM(F99:F101)</f>
        <v>0</v>
      </c>
    </row>
    <row r="103" spans="1:6" s="29" customFormat="1" ht="15.6">
      <c r="A103" s="152"/>
      <c r="B103" s="178"/>
      <c r="C103" s="120"/>
      <c r="D103" s="135"/>
      <c r="E103" s="221"/>
      <c r="F103" s="136"/>
    </row>
    <row r="104" spans="1:6" s="29" customFormat="1" ht="15.6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6">
      <c r="A105" s="152" t="s">
        <v>132</v>
      </c>
      <c r="B105" s="158" t="s">
        <v>254</v>
      </c>
      <c r="C105" s="120"/>
      <c r="D105" s="135"/>
      <c r="E105" s="221"/>
      <c r="F105" s="136"/>
    </row>
    <row r="106" spans="1:6" s="29" customFormat="1" ht="15.6">
      <c r="A106" s="152" t="s">
        <v>163</v>
      </c>
      <c r="B106" s="153" t="s">
        <v>255</v>
      </c>
      <c r="C106" s="120"/>
      <c r="D106" s="135"/>
      <c r="E106" s="221"/>
      <c r="F106" s="136"/>
    </row>
    <row r="107" spans="1:6" s="29" customFormat="1" ht="15.6">
      <c r="A107" s="152" t="s">
        <v>256</v>
      </c>
      <c r="B107" s="153" t="s">
        <v>257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6">
      <c r="A108" s="152" t="s">
        <v>258</v>
      </c>
      <c r="B108" s="153" t="s">
        <v>259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6">
      <c r="A109" s="152" t="s">
        <v>133</v>
      </c>
      <c r="B109" s="158" t="s">
        <v>260</v>
      </c>
      <c r="C109" s="154"/>
      <c r="D109" s="121"/>
      <c r="E109" s="226"/>
      <c r="F109" s="136"/>
    </row>
    <row r="110" spans="1:6" s="29" customFormat="1" ht="15.6">
      <c r="A110" s="152" t="s">
        <v>164</v>
      </c>
      <c r="B110" s="153" t="s">
        <v>261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">
      <c r="A112" s="181"/>
      <c r="B112" s="169"/>
      <c r="C112" s="182"/>
      <c r="D112" s="171"/>
      <c r="E112" s="227"/>
      <c r="F112" s="130"/>
    </row>
    <row r="113" spans="1:8" s="2" customFormat="1" ht="15.6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6">
      <c r="A114" s="152" t="s">
        <v>262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263</v>
      </c>
      <c r="B115" s="184" t="s">
        <v>264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265</v>
      </c>
      <c r="B116" s="184" t="s">
        <v>266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">
      <c r="A118" s="179"/>
      <c r="B118" s="230"/>
      <c r="C118" s="185"/>
      <c r="D118" s="135"/>
      <c r="E118" s="221"/>
      <c r="F118" s="136"/>
    </row>
    <row r="119" spans="1:8" s="29" customFormat="1" ht="15.6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6">
      <c r="A120" s="152" t="s">
        <v>144</v>
      </c>
      <c r="B120" s="186" t="s">
        <v>62</v>
      </c>
      <c r="C120" s="154"/>
      <c r="D120" s="165"/>
      <c r="E120" s="226"/>
      <c r="F120" s="136"/>
    </row>
    <row r="121" spans="1:8" s="29" customFormat="1" ht="15.6">
      <c r="A121" s="152" t="s">
        <v>165</v>
      </c>
      <c r="B121" s="153" t="s">
        <v>267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6">
      <c r="A122" s="152" t="s">
        <v>268</v>
      </c>
      <c r="B122" s="153" t="s">
        <v>269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6">
      <c r="A123" s="152" t="s">
        <v>270</v>
      </c>
      <c r="B123" s="158" t="s">
        <v>63</v>
      </c>
      <c r="C123" s="154"/>
      <c r="D123" s="121"/>
      <c r="E123" s="226"/>
      <c r="F123" s="136"/>
      <c r="H123" s="288"/>
    </row>
    <row r="124" spans="1:8" s="29" customFormat="1" ht="15.6">
      <c r="A124" s="152" t="s">
        <v>271</v>
      </c>
      <c r="B124" s="153" t="s">
        <v>272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6">
      <c r="A125" s="152" t="s">
        <v>273</v>
      </c>
      <c r="B125" s="153" t="s">
        <v>274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6">
      <c r="A126" s="172" t="s">
        <v>275</v>
      </c>
      <c r="B126" s="158" t="s">
        <v>57</v>
      </c>
      <c r="C126" s="154"/>
      <c r="D126" s="121"/>
      <c r="E126" s="226"/>
      <c r="F126" s="136"/>
    </row>
    <row r="127" spans="1:8" s="29" customFormat="1" ht="15.6">
      <c r="A127" s="172" t="s">
        <v>276</v>
      </c>
      <c r="B127" s="153" t="s">
        <v>277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">
      <c r="A129" s="535"/>
      <c r="B129" s="536"/>
      <c r="C129" s="536"/>
      <c r="D129" s="536"/>
      <c r="E129" s="536"/>
      <c r="F129" s="536"/>
    </row>
    <row r="130" spans="1:6" s="29" customFormat="1" ht="20.25" customHeight="1">
      <c r="A130" s="537" t="s">
        <v>278</v>
      </c>
      <c r="B130" s="538"/>
      <c r="C130" s="538"/>
      <c r="D130" s="253"/>
      <c r="E130" s="195"/>
      <c r="F130" s="187">
        <f>F128+F111+F102+F96+F91+F81+F76+F117+F11</f>
        <v>0</v>
      </c>
    </row>
    <row r="131" spans="1:6" s="29" customFormat="1" ht="15">
      <c r="A131" s="535"/>
      <c r="B131" s="536"/>
      <c r="C131" s="536"/>
      <c r="D131" s="536"/>
      <c r="E131" s="536"/>
      <c r="F131" s="536"/>
    </row>
    <row r="132" spans="1:6" s="29" customFormat="1" ht="20.25" customHeight="1">
      <c r="A132" s="537" t="s">
        <v>346</v>
      </c>
      <c r="B132" s="538"/>
      <c r="C132" s="538"/>
      <c r="D132" s="196">
        <v>0.1</v>
      </c>
      <c r="E132" s="195"/>
      <c r="F132" s="187">
        <f>F130*D132</f>
        <v>0</v>
      </c>
    </row>
    <row r="133" spans="1:6" s="29" customFormat="1" ht="15">
      <c r="A133" s="527"/>
      <c r="B133" s="528"/>
      <c r="C133" s="529"/>
      <c r="D133" s="529"/>
      <c r="E133" s="529"/>
      <c r="F133" s="529"/>
    </row>
    <row r="134" spans="1:6" s="29" customFormat="1" ht="24.75" customHeight="1">
      <c r="A134" s="527" t="s">
        <v>279</v>
      </c>
      <c r="B134" s="528"/>
      <c r="C134" s="529"/>
      <c r="D134" s="529"/>
      <c r="E134" s="530">
        <f>F130+F132</f>
        <v>0</v>
      </c>
      <c r="F134" s="530"/>
    </row>
    <row r="135" spans="1:6" s="29" customFormat="1" ht="15.6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23EC-B531-4AC0-BD81-1FE5C750BAF9}">
  <dimension ref="A3:F116"/>
  <sheetViews>
    <sheetView view="pageBreakPreview" topLeftCell="A56" zoomScale="90" zoomScaleNormal="100" zoomScaleSheetLayoutView="90" workbookViewId="0">
      <selection activeCell="B67" sqref="B67"/>
    </sheetView>
  </sheetViews>
  <sheetFormatPr baseColWidth="10" defaultRowHeight="14.4"/>
  <cols>
    <col min="2" max="2" width="61.21875" bestFit="1" customWidth="1"/>
    <col min="3" max="3" width="8.21875" customWidth="1"/>
    <col min="6" max="6" width="14.21875" customWidth="1"/>
  </cols>
  <sheetData>
    <row r="3" spans="1:6" s="2" customFormat="1" ht="25.95" customHeight="1">
      <c r="A3" s="539" t="s">
        <v>661</v>
      </c>
      <c r="B3" s="540"/>
      <c r="C3" s="540"/>
      <c r="D3" s="540"/>
      <c r="E3" s="540"/>
      <c r="F3" s="541"/>
    </row>
    <row r="4" spans="1:6" s="270" customFormat="1" ht="41.4">
      <c r="A4" s="506" t="s">
        <v>12</v>
      </c>
      <c r="B4" s="505" t="s">
        <v>8</v>
      </c>
      <c r="C4" s="503" t="s">
        <v>0</v>
      </c>
      <c r="D4" s="503" t="s">
        <v>2</v>
      </c>
      <c r="E4" s="504" t="s">
        <v>3</v>
      </c>
      <c r="F4" s="503" t="s">
        <v>1</v>
      </c>
    </row>
    <row r="5" spans="1:6" s="2" customFormat="1" ht="15">
      <c r="A5" s="479"/>
      <c r="B5" s="271"/>
      <c r="C5" s="272"/>
      <c r="D5" s="273"/>
      <c r="E5" s="459"/>
      <c r="F5" s="273"/>
    </row>
    <row r="6" spans="1:6" s="2" customFormat="1" ht="18" customHeight="1">
      <c r="A6" s="465" t="s">
        <v>13</v>
      </c>
      <c r="B6" s="274" t="s">
        <v>287</v>
      </c>
      <c r="C6" s="275"/>
      <c r="D6" s="276"/>
      <c r="E6" s="464"/>
      <c r="F6" s="276"/>
    </row>
    <row r="7" spans="1:6" s="2" customFormat="1" ht="18" customHeight="1">
      <c r="A7" s="463"/>
      <c r="B7" s="497"/>
      <c r="C7" s="277"/>
      <c r="D7" s="277"/>
      <c r="E7" s="459"/>
      <c r="F7" s="278"/>
    </row>
    <row r="8" spans="1:6" s="2" customFormat="1" ht="18" customHeight="1">
      <c r="A8" s="502" t="s">
        <v>5</v>
      </c>
      <c r="B8" s="496" t="s">
        <v>660</v>
      </c>
      <c r="C8" s="277"/>
      <c r="D8" s="277"/>
      <c r="E8" s="459"/>
      <c r="F8" s="278"/>
    </row>
    <row r="9" spans="1:6" s="2" customFormat="1" ht="18" customHeight="1">
      <c r="A9" s="463" t="s">
        <v>288</v>
      </c>
      <c r="B9" s="460" t="s">
        <v>659</v>
      </c>
      <c r="C9" s="277" t="s">
        <v>10</v>
      </c>
      <c r="D9" s="277">
        <f>2*2.56*3</f>
        <v>15.36</v>
      </c>
      <c r="E9" s="459"/>
      <c r="F9" s="278">
        <f>D9*E9</f>
        <v>0</v>
      </c>
    </row>
    <row r="10" spans="1:6" s="2" customFormat="1" ht="18" customHeight="1">
      <c r="A10" s="463" t="s">
        <v>289</v>
      </c>
      <c r="B10" s="460" t="s">
        <v>658</v>
      </c>
      <c r="C10" s="277" t="s">
        <v>10</v>
      </c>
      <c r="D10" s="277">
        <v>3.5</v>
      </c>
      <c r="E10" s="459"/>
      <c r="F10" s="278">
        <f>D10*E10</f>
        <v>0</v>
      </c>
    </row>
    <row r="11" spans="1:6" s="2" customFormat="1" ht="18" customHeight="1">
      <c r="A11" s="491"/>
      <c r="B11" s="501" t="s">
        <v>290</v>
      </c>
      <c r="C11" s="500"/>
      <c r="D11" s="500"/>
      <c r="E11" s="499"/>
      <c r="F11" s="486">
        <f>SUM(F9:F10)</f>
        <v>0</v>
      </c>
    </row>
    <row r="12" spans="1:6" s="2" customFormat="1" ht="9.6" customHeight="1">
      <c r="A12" s="463"/>
      <c r="B12" s="497"/>
      <c r="C12" s="277"/>
      <c r="D12" s="277"/>
      <c r="E12" s="459"/>
      <c r="F12" s="278"/>
    </row>
    <row r="13" spans="1:6" s="2" customFormat="1" ht="17.399999999999999">
      <c r="A13" s="479"/>
      <c r="B13" s="498" t="s">
        <v>291</v>
      </c>
      <c r="C13" s="279"/>
      <c r="D13" s="280"/>
      <c r="E13" s="456"/>
      <c r="F13" s="281">
        <f>F11</f>
        <v>0</v>
      </c>
    </row>
    <row r="14" spans="1:6" s="2" customFormat="1" ht="15">
      <c r="A14" s="479"/>
      <c r="B14" s="271"/>
      <c r="C14" s="272"/>
      <c r="D14" s="278"/>
      <c r="E14" s="466"/>
      <c r="F14" s="278"/>
    </row>
    <row r="15" spans="1:6" s="2" customFormat="1" ht="15.6">
      <c r="A15" s="465" t="s">
        <v>14</v>
      </c>
      <c r="B15" s="274" t="s">
        <v>15</v>
      </c>
      <c r="C15" s="275"/>
      <c r="D15" s="276"/>
      <c r="E15" s="464"/>
      <c r="F15" s="276"/>
    </row>
    <row r="16" spans="1:6" s="2" customFormat="1" ht="17.25" customHeight="1">
      <c r="A16" s="463"/>
      <c r="B16" s="497"/>
      <c r="C16" s="277"/>
      <c r="D16" s="277"/>
      <c r="E16" s="492"/>
      <c r="F16" s="278"/>
    </row>
    <row r="17" spans="1:6" s="2" customFormat="1" ht="17.25" customHeight="1">
      <c r="A17" s="463" t="s">
        <v>79</v>
      </c>
      <c r="B17" s="496" t="s">
        <v>292</v>
      </c>
      <c r="C17" s="277"/>
      <c r="D17" s="277"/>
      <c r="E17" s="466"/>
      <c r="F17" s="278"/>
    </row>
    <row r="18" spans="1:6" s="2" customFormat="1" ht="15.6">
      <c r="A18" s="463" t="s">
        <v>293</v>
      </c>
      <c r="B18" s="495" t="s">
        <v>19</v>
      </c>
      <c r="C18" s="277"/>
      <c r="D18" s="277"/>
      <c r="E18" s="466"/>
      <c r="F18" s="278"/>
    </row>
    <row r="19" spans="1:6" s="2" customFormat="1" ht="18" customHeight="1">
      <c r="A19" s="463" t="s">
        <v>294</v>
      </c>
      <c r="B19" s="460" t="s">
        <v>295</v>
      </c>
      <c r="C19" s="277" t="s">
        <v>4</v>
      </c>
      <c r="D19" s="277">
        <f>(1.5*3+2.09*2)*2.85</f>
        <v>24.738</v>
      </c>
      <c r="E19" s="459"/>
      <c r="F19" s="278">
        <f>D19*E19</f>
        <v>0</v>
      </c>
    </row>
    <row r="20" spans="1:6" s="2" customFormat="1" ht="18" customHeight="1">
      <c r="A20" s="463" t="s">
        <v>296</v>
      </c>
      <c r="B20" s="460" t="s">
        <v>297</v>
      </c>
      <c r="C20" s="277"/>
      <c r="D20" s="277"/>
      <c r="E20" s="459"/>
      <c r="F20" s="278"/>
    </row>
    <row r="21" spans="1:6" s="2" customFormat="1" ht="18" customHeight="1">
      <c r="A21" s="463"/>
      <c r="B21" s="460" t="s">
        <v>20</v>
      </c>
      <c r="C21" s="277" t="s">
        <v>10</v>
      </c>
      <c r="D21" s="277">
        <f>4*0.15*0.2*2.85</f>
        <v>0.34199999999999997</v>
      </c>
      <c r="E21" s="459"/>
      <c r="F21" s="278">
        <f>D21*E21</f>
        <v>0</v>
      </c>
    </row>
    <row r="22" spans="1:6" s="2" customFormat="1" ht="18" customHeight="1">
      <c r="A22" s="463"/>
      <c r="B22" s="460" t="s">
        <v>61</v>
      </c>
      <c r="C22" s="277" t="s">
        <v>23</v>
      </c>
      <c r="D22" s="277">
        <f>D21*70</f>
        <v>23.939999999999998</v>
      </c>
      <c r="E22" s="459"/>
      <c r="F22" s="278">
        <f>D22*E22</f>
        <v>0</v>
      </c>
    </row>
    <row r="23" spans="1:6" s="2" customFormat="1" ht="18" customHeight="1">
      <c r="A23" s="463"/>
      <c r="B23" s="460" t="s">
        <v>21</v>
      </c>
      <c r="C23" s="277" t="s">
        <v>4</v>
      </c>
      <c r="D23" s="277">
        <f>D21*12</f>
        <v>4.1039999999999992</v>
      </c>
      <c r="E23" s="459"/>
      <c r="F23" s="278">
        <f>D23*E23</f>
        <v>0</v>
      </c>
    </row>
    <row r="24" spans="1:6" s="2" customFormat="1" ht="18" customHeight="1">
      <c r="A24" s="463"/>
      <c r="B24" s="460" t="s">
        <v>365</v>
      </c>
      <c r="C24" s="277" t="s">
        <v>4</v>
      </c>
      <c r="D24" s="277">
        <f>(2*4+1.8*2)*2.85</f>
        <v>33.06</v>
      </c>
      <c r="E24" s="459"/>
      <c r="F24" s="278">
        <f>D24*E24</f>
        <v>0</v>
      </c>
    </row>
    <row r="25" spans="1:6" s="2" customFormat="1" ht="18" customHeight="1">
      <c r="A25" s="463" t="s">
        <v>298</v>
      </c>
      <c r="B25" s="494" t="s">
        <v>299</v>
      </c>
      <c r="C25" s="277"/>
      <c r="D25" s="277"/>
      <c r="E25" s="459"/>
      <c r="F25" s="278"/>
    </row>
    <row r="26" spans="1:6" s="2" customFormat="1" ht="18" customHeight="1">
      <c r="A26" s="463"/>
      <c r="B26" s="460" t="s">
        <v>20</v>
      </c>
      <c r="C26" s="277" t="s">
        <v>10</v>
      </c>
      <c r="D26" s="277">
        <f>1.8*2</f>
        <v>3.6</v>
      </c>
      <c r="E26" s="459"/>
      <c r="F26" s="278">
        <f>D26*E26</f>
        <v>0</v>
      </c>
    </row>
    <row r="27" spans="1:6" s="2" customFormat="1" ht="18" customHeight="1">
      <c r="A27" s="463"/>
      <c r="B27" s="460" t="s">
        <v>300</v>
      </c>
      <c r="C27" s="277" t="s">
        <v>23</v>
      </c>
      <c r="D27" s="277">
        <f>D26*12</f>
        <v>43.2</v>
      </c>
      <c r="E27" s="459"/>
      <c r="F27" s="278">
        <f>D27*E27</f>
        <v>0</v>
      </c>
    </row>
    <row r="28" spans="1:6" s="2" customFormat="1" ht="18" customHeight="1">
      <c r="A28" s="463" t="s">
        <v>301</v>
      </c>
      <c r="B28" s="494" t="s">
        <v>657</v>
      </c>
      <c r="C28" s="277"/>
      <c r="D28" s="277"/>
      <c r="E28" s="459"/>
      <c r="F28" s="278"/>
    </row>
    <row r="29" spans="1:6" s="2" customFormat="1" ht="18" customHeight="1">
      <c r="A29" s="463"/>
      <c r="B29" s="460" t="s">
        <v>302</v>
      </c>
      <c r="C29" s="277" t="s">
        <v>10</v>
      </c>
      <c r="D29" s="277">
        <f>2*1.8*0.1</f>
        <v>0.36000000000000004</v>
      </c>
      <c r="E29" s="459"/>
      <c r="F29" s="278">
        <f>D29*E29</f>
        <v>0</v>
      </c>
    </row>
    <row r="30" spans="1:6" s="2" customFormat="1" ht="18" customHeight="1">
      <c r="A30" s="463"/>
      <c r="B30" s="460" t="s">
        <v>303</v>
      </c>
      <c r="C30" s="277" t="s">
        <v>23</v>
      </c>
      <c r="D30" s="277">
        <f>D29*80</f>
        <v>28.800000000000004</v>
      </c>
      <c r="E30" s="459"/>
      <c r="F30" s="278">
        <f>D30*E30</f>
        <v>0</v>
      </c>
    </row>
    <row r="31" spans="1:6" s="2" customFormat="1" ht="18" customHeight="1">
      <c r="A31" s="463"/>
      <c r="B31" s="460" t="s">
        <v>304</v>
      </c>
      <c r="C31" s="277" t="s">
        <v>4</v>
      </c>
      <c r="D31" s="277">
        <f>D29*12</f>
        <v>4.32</v>
      </c>
      <c r="E31" s="459"/>
      <c r="F31" s="278">
        <f>D31*E31</f>
        <v>0</v>
      </c>
    </row>
    <row r="32" spans="1:6" s="2" customFormat="1" ht="18" customHeight="1">
      <c r="A32" s="463" t="s">
        <v>366</v>
      </c>
      <c r="B32" s="460" t="s">
        <v>367</v>
      </c>
      <c r="C32" s="277" t="s">
        <v>4</v>
      </c>
      <c r="D32" s="277">
        <f>2*1.8</f>
        <v>3.6</v>
      </c>
      <c r="E32" s="459"/>
      <c r="F32" s="278">
        <f>D32*E32</f>
        <v>0</v>
      </c>
    </row>
    <row r="33" spans="1:6" s="2" customFormat="1" ht="17.25" customHeight="1">
      <c r="A33" s="463" t="s">
        <v>305</v>
      </c>
      <c r="B33" s="460" t="s">
        <v>25</v>
      </c>
      <c r="C33" s="484"/>
      <c r="D33" s="484"/>
      <c r="E33" s="492"/>
      <c r="F33" s="278"/>
    </row>
    <row r="34" spans="1:6" s="2" customFormat="1" ht="17.25" customHeight="1">
      <c r="A34" s="463" t="s">
        <v>306</v>
      </c>
      <c r="B34" s="494" t="s">
        <v>656</v>
      </c>
      <c r="C34" s="277" t="s">
        <v>4</v>
      </c>
      <c r="D34" s="277">
        <f>(2*4+3*2)*2.5-(0.7*1.8*2+0.6*0.6*2)+1.8*2</f>
        <v>35.36</v>
      </c>
      <c r="E34" s="492"/>
      <c r="F34" s="278">
        <f>D34*E34</f>
        <v>0</v>
      </c>
    </row>
    <row r="35" spans="1:6" s="2" customFormat="1" ht="17.25" customHeight="1">
      <c r="A35" s="463" t="s">
        <v>307</v>
      </c>
      <c r="B35" s="494" t="s">
        <v>308</v>
      </c>
      <c r="C35" s="277"/>
      <c r="D35" s="277"/>
      <c r="E35" s="492"/>
      <c r="F35" s="278"/>
    </row>
    <row r="36" spans="1:6" s="2" customFormat="1" ht="17.25" customHeight="1">
      <c r="A36" s="463"/>
      <c r="B36" s="460" t="s">
        <v>20</v>
      </c>
      <c r="C36" s="277" t="s">
        <v>10</v>
      </c>
      <c r="D36" s="277">
        <f>0.15*0.15*4*2.5</f>
        <v>0.22499999999999998</v>
      </c>
      <c r="E36" s="459"/>
      <c r="F36" s="278">
        <f>D36*E36</f>
        <v>0</v>
      </c>
    </row>
    <row r="37" spans="1:6" s="2" customFormat="1" ht="17.25" customHeight="1">
      <c r="A37" s="463"/>
      <c r="B37" s="460" t="s">
        <v>22</v>
      </c>
      <c r="C37" s="277" t="s">
        <v>23</v>
      </c>
      <c r="D37" s="277">
        <f>D36*80</f>
        <v>18</v>
      </c>
      <c r="E37" s="459"/>
      <c r="F37" s="278">
        <f>D37*E37</f>
        <v>0</v>
      </c>
    </row>
    <row r="38" spans="1:6" s="2" customFormat="1" ht="17.25" customHeight="1">
      <c r="A38" s="463"/>
      <c r="B38" s="460" t="s">
        <v>21</v>
      </c>
      <c r="C38" s="277" t="s">
        <v>4</v>
      </c>
      <c r="D38" s="277">
        <f>D36*12</f>
        <v>2.6999999999999997</v>
      </c>
      <c r="E38" s="459"/>
      <c r="F38" s="278">
        <f>D38*E38</f>
        <v>0</v>
      </c>
    </row>
    <row r="39" spans="1:6" s="2" customFormat="1" ht="17.25" customHeight="1">
      <c r="A39" s="463" t="s">
        <v>309</v>
      </c>
      <c r="B39" s="494" t="s">
        <v>310</v>
      </c>
      <c r="C39" s="277"/>
      <c r="D39" s="277"/>
      <c r="E39" s="492"/>
      <c r="F39" s="278"/>
    </row>
    <row r="40" spans="1:6" s="2" customFormat="1" ht="17.25" customHeight="1">
      <c r="A40" s="463"/>
      <c r="B40" s="460" t="s">
        <v>20</v>
      </c>
      <c r="C40" s="277" t="s">
        <v>10</v>
      </c>
      <c r="D40" s="277">
        <f>10*0.2*0.2</f>
        <v>0.4</v>
      </c>
      <c r="E40" s="459"/>
      <c r="F40" s="278">
        <f>D40*E40</f>
        <v>0</v>
      </c>
    </row>
    <row r="41" spans="1:6" s="2" customFormat="1" ht="17.25" customHeight="1">
      <c r="A41" s="463"/>
      <c r="B41" s="460" t="s">
        <v>22</v>
      </c>
      <c r="C41" s="277" t="s">
        <v>23</v>
      </c>
      <c r="D41" s="277">
        <f>D40*80</f>
        <v>32</v>
      </c>
      <c r="E41" s="459"/>
      <c r="F41" s="278">
        <f>D41*E41</f>
        <v>0</v>
      </c>
    </row>
    <row r="42" spans="1:6" s="2" customFormat="1" ht="17.25" customHeight="1">
      <c r="A42" s="463"/>
      <c r="B42" s="460" t="s">
        <v>21</v>
      </c>
      <c r="C42" s="277" t="s">
        <v>4</v>
      </c>
      <c r="D42" s="277">
        <f>D40*12</f>
        <v>4.8000000000000007</v>
      </c>
      <c r="E42" s="459"/>
      <c r="F42" s="278">
        <f>D42*E42</f>
        <v>0</v>
      </c>
    </row>
    <row r="43" spans="1:6" s="2" customFormat="1" ht="17.25" customHeight="1">
      <c r="A43" s="463" t="s">
        <v>311</v>
      </c>
      <c r="B43" s="460" t="s">
        <v>33</v>
      </c>
      <c r="C43" s="277"/>
      <c r="D43" s="277"/>
      <c r="E43" s="492"/>
      <c r="F43" s="278"/>
    </row>
    <row r="44" spans="1:6" s="2" customFormat="1" ht="17.25" customHeight="1">
      <c r="A44" s="463"/>
      <c r="B44" s="460" t="s">
        <v>655</v>
      </c>
      <c r="C44" s="277" t="s">
        <v>4</v>
      </c>
      <c r="D44" s="277">
        <f>(D34*2)-(0.7*2.2*2+0.6*0.6*2)</f>
        <v>66.92</v>
      </c>
      <c r="E44" s="492"/>
      <c r="F44" s="278">
        <f>D44*E44</f>
        <v>0</v>
      </c>
    </row>
    <row r="45" spans="1:6" s="2" customFormat="1" ht="17.25" customHeight="1">
      <c r="A45" s="463" t="s">
        <v>312</v>
      </c>
      <c r="B45" s="460" t="s">
        <v>313</v>
      </c>
      <c r="C45" s="277" t="s">
        <v>314</v>
      </c>
      <c r="D45" s="277">
        <f>0.6*0.6*2</f>
        <v>0.72</v>
      </c>
      <c r="E45" s="492"/>
      <c r="F45" s="278">
        <f>D45*E45</f>
        <v>0</v>
      </c>
    </row>
    <row r="46" spans="1:6" s="2" customFormat="1" ht="17.25" customHeight="1">
      <c r="A46" s="463" t="s">
        <v>315</v>
      </c>
      <c r="B46" s="493" t="s">
        <v>34</v>
      </c>
      <c r="C46" s="277"/>
      <c r="D46" s="277"/>
      <c r="E46" s="492"/>
      <c r="F46" s="278"/>
    </row>
    <row r="47" spans="1:6" s="2" customFormat="1" ht="17.25" customHeight="1">
      <c r="A47" s="463" t="s">
        <v>17</v>
      </c>
      <c r="B47" s="493" t="s">
        <v>35</v>
      </c>
      <c r="C47" s="277"/>
      <c r="D47" s="277"/>
      <c r="E47" s="492"/>
      <c r="F47" s="278"/>
    </row>
    <row r="48" spans="1:6" s="2" customFormat="1" ht="17.25" customHeight="1">
      <c r="A48" s="463" t="s">
        <v>86</v>
      </c>
      <c r="B48" s="460" t="s">
        <v>316</v>
      </c>
      <c r="C48" s="277" t="s">
        <v>9</v>
      </c>
      <c r="D48" s="277">
        <v>2</v>
      </c>
      <c r="E48" s="492"/>
      <c r="F48" s="278">
        <f>D48*E48</f>
        <v>0</v>
      </c>
    </row>
    <row r="49" spans="1:6" s="2" customFormat="1" ht="17.25" hidden="1" customHeight="1">
      <c r="A49" s="463" t="s">
        <v>31</v>
      </c>
      <c r="B49" s="493" t="s">
        <v>36</v>
      </c>
      <c r="C49" s="277"/>
      <c r="D49" s="277"/>
      <c r="E49" s="492"/>
      <c r="F49" s="278"/>
    </row>
    <row r="50" spans="1:6" s="2" customFormat="1" ht="17.25" hidden="1" customHeight="1">
      <c r="A50" s="463" t="s">
        <v>32</v>
      </c>
      <c r="B50" s="460" t="s">
        <v>64</v>
      </c>
      <c r="C50" s="277" t="s">
        <v>9</v>
      </c>
      <c r="D50" s="277">
        <v>0</v>
      </c>
      <c r="E50" s="492"/>
      <c r="F50" s="278">
        <f>D50*E50</f>
        <v>0</v>
      </c>
    </row>
    <row r="51" spans="1:6" s="2" customFormat="1" ht="17.25" customHeight="1">
      <c r="A51" s="491"/>
      <c r="B51" s="490" t="s">
        <v>37</v>
      </c>
      <c r="C51" s="489"/>
      <c r="D51" s="488"/>
      <c r="E51" s="487"/>
      <c r="F51" s="486">
        <f>SUM(F19:F50)</f>
        <v>0</v>
      </c>
    </row>
    <row r="52" spans="1:6" s="2" customFormat="1" ht="15.6">
      <c r="A52" s="463"/>
      <c r="B52" s="485"/>
      <c r="C52" s="272"/>
      <c r="D52" s="278"/>
      <c r="E52" s="466"/>
      <c r="F52" s="278"/>
    </row>
    <row r="53" spans="1:6" s="2" customFormat="1" ht="18.600000000000001" customHeight="1">
      <c r="A53" s="463"/>
      <c r="B53" s="469" t="s">
        <v>38</v>
      </c>
      <c r="C53" s="279"/>
      <c r="D53" s="280"/>
      <c r="E53" s="456"/>
      <c r="F53" s="281">
        <f>F51</f>
        <v>0</v>
      </c>
    </row>
    <row r="54" spans="1:6" s="2" customFormat="1" ht="15.6">
      <c r="A54" s="463"/>
      <c r="B54" s="483"/>
      <c r="C54" s="272"/>
      <c r="D54" s="278"/>
      <c r="E54" s="466"/>
      <c r="F54" s="278"/>
    </row>
    <row r="55" spans="1:6" s="2" customFormat="1" ht="15.6">
      <c r="A55" s="465" t="s">
        <v>18</v>
      </c>
      <c r="B55" s="274" t="s">
        <v>368</v>
      </c>
      <c r="C55" s="275"/>
      <c r="D55" s="276"/>
      <c r="E55" s="464"/>
      <c r="F55" s="276"/>
    </row>
    <row r="56" spans="1:6" s="2" customFormat="1" ht="15">
      <c r="A56" s="463" t="s">
        <v>116</v>
      </c>
      <c r="B56" s="460" t="s">
        <v>369</v>
      </c>
      <c r="C56" s="277" t="s">
        <v>9</v>
      </c>
      <c r="D56" s="277">
        <v>0</v>
      </c>
      <c r="E56" s="459"/>
      <c r="F56" s="278">
        <f>D56*E56</f>
        <v>0</v>
      </c>
    </row>
    <row r="57" spans="1:6" s="2" customFormat="1" ht="17.399999999999999">
      <c r="A57" s="479"/>
      <c r="B57" s="469" t="s">
        <v>370</v>
      </c>
      <c r="C57" s="279"/>
      <c r="D57" s="280"/>
      <c r="E57" s="456"/>
      <c r="F57" s="281">
        <f>SUM(F56:F56)</f>
        <v>0</v>
      </c>
    </row>
    <row r="58" spans="1:6" s="2" customFormat="1" ht="15.6">
      <c r="A58" s="479"/>
      <c r="B58" s="483"/>
      <c r="C58" s="272"/>
      <c r="D58" s="278"/>
      <c r="E58" s="466"/>
      <c r="F58" s="278"/>
    </row>
    <row r="59" spans="1:6" s="2" customFormat="1" ht="15.6">
      <c r="A59" s="465" t="s">
        <v>41</v>
      </c>
      <c r="B59" s="274" t="s">
        <v>39</v>
      </c>
      <c r="C59" s="275"/>
      <c r="D59" s="276"/>
      <c r="E59" s="464"/>
      <c r="F59" s="276"/>
    </row>
    <row r="60" spans="1:6" s="2" customFormat="1" ht="15">
      <c r="A60" s="463" t="s">
        <v>123</v>
      </c>
      <c r="B60" s="480" t="s">
        <v>317</v>
      </c>
      <c r="C60" s="277" t="s">
        <v>7</v>
      </c>
      <c r="D60" s="277">
        <v>20</v>
      </c>
      <c r="E60" s="459"/>
      <c r="F60" s="278">
        <f>D60*E60</f>
        <v>0</v>
      </c>
    </row>
    <row r="61" spans="1:6" s="2" customFormat="1" ht="17.399999999999999">
      <c r="A61" s="479"/>
      <c r="B61" s="469" t="s">
        <v>40</v>
      </c>
      <c r="C61" s="279"/>
      <c r="D61" s="280"/>
      <c r="E61" s="456"/>
      <c r="F61" s="281">
        <f>SUM(F60:F60)</f>
        <v>0</v>
      </c>
    </row>
    <row r="62" spans="1:6" s="2" customFormat="1" ht="15.6">
      <c r="A62" s="479"/>
      <c r="B62" s="483"/>
      <c r="C62" s="272"/>
      <c r="D62" s="278"/>
      <c r="E62" s="466"/>
      <c r="F62" s="278"/>
    </row>
    <row r="63" spans="1:6" s="2" customFormat="1" ht="15.6">
      <c r="A63" s="465" t="s">
        <v>47</v>
      </c>
      <c r="B63" s="274" t="s">
        <v>42</v>
      </c>
      <c r="C63" s="275"/>
      <c r="D63" s="276"/>
      <c r="E63" s="464"/>
      <c r="F63" s="276"/>
    </row>
    <row r="64" spans="1:6" s="2" customFormat="1" ht="15">
      <c r="A64" s="463" t="s">
        <v>49</v>
      </c>
      <c r="B64" s="480" t="s">
        <v>43</v>
      </c>
      <c r="C64" s="272"/>
      <c r="D64" s="278"/>
      <c r="E64" s="466"/>
      <c r="F64" s="278"/>
    </row>
    <row r="65" spans="1:6" s="2" customFormat="1" ht="15.6">
      <c r="A65" s="463" t="s">
        <v>50</v>
      </c>
      <c r="B65" s="462" t="s">
        <v>44</v>
      </c>
      <c r="C65" s="272"/>
      <c r="D65" s="278"/>
      <c r="E65" s="466"/>
      <c r="F65" s="278"/>
    </row>
    <row r="66" spans="1:6" s="2" customFormat="1" ht="15">
      <c r="A66" s="463" t="s">
        <v>318</v>
      </c>
      <c r="B66" s="460" t="s">
        <v>682</v>
      </c>
      <c r="C66" s="277" t="s">
        <v>4</v>
      </c>
      <c r="D66" s="277">
        <f>3*5</f>
        <v>15</v>
      </c>
      <c r="E66" s="459"/>
      <c r="F66" s="278">
        <f>D66*E66</f>
        <v>0</v>
      </c>
    </row>
    <row r="67" spans="1:6" s="2" customFormat="1" ht="15.6">
      <c r="A67" s="463" t="s">
        <v>319</v>
      </c>
      <c r="B67" s="462" t="s">
        <v>45</v>
      </c>
      <c r="C67" s="484"/>
      <c r="D67" s="484"/>
      <c r="E67" s="459"/>
      <c r="F67" s="278"/>
    </row>
    <row r="68" spans="1:6" s="2" customFormat="1" ht="15">
      <c r="A68" s="463" t="s">
        <v>320</v>
      </c>
      <c r="B68" s="460" t="s">
        <v>654</v>
      </c>
      <c r="C68" s="277" t="s">
        <v>4</v>
      </c>
      <c r="D68" s="277">
        <f>16*0.4</f>
        <v>6.4</v>
      </c>
      <c r="E68" s="459"/>
      <c r="F68" s="278">
        <f>D68*E68</f>
        <v>0</v>
      </c>
    </row>
    <row r="69" spans="1:6" s="2" customFormat="1" ht="15.6" hidden="1">
      <c r="A69" s="463" t="s">
        <v>321</v>
      </c>
      <c r="B69" s="462" t="s">
        <v>322</v>
      </c>
      <c r="C69" s="277"/>
      <c r="D69" s="277"/>
      <c r="E69" s="459"/>
      <c r="F69" s="278"/>
    </row>
    <row r="70" spans="1:6" s="2" customFormat="1" ht="15" hidden="1">
      <c r="A70" s="463" t="s">
        <v>323</v>
      </c>
      <c r="B70" s="460" t="s">
        <v>324</v>
      </c>
      <c r="C70" s="277" t="s">
        <v>9</v>
      </c>
      <c r="D70" s="277"/>
      <c r="E70" s="459"/>
      <c r="F70" s="278">
        <f>D70*E70</f>
        <v>0</v>
      </c>
    </row>
    <row r="71" spans="1:6" s="2" customFormat="1" ht="17.25" customHeight="1">
      <c r="A71" s="479"/>
      <c r="B71" s="469" t="s">
        <v>46</v>
      </c>
      <c r="C71" s="279"/>
      <c r="D71" s="280"/>
      <c r="E71" s="456"/>
      <c r="F71" s="281">
        <f>SUM(F66:F70)</f>
        <v>0</v>
      </c>
    </row>
    <row r="72" spans="1:6" s="482" customFormat="1" ht="17.25" customHeight="1">
      <c r="A72" s="479"/>
      <c r="B72" s="483"/>
      <c r="C72" s="272"/>
      <c r="D72" s="278"/>
      <c r="E72" s="466"/>
      <c r="F72" s="278"/>
    </row>
    <row r="73" spans="1:6" s="2" customFormat="1" ht="15.6">
      <c r="A73" s="465" t="s">
        <v>53</v>
      </c>
      <c r="B73" s="274" t="s">
        <v>48</v>
      </c>
      <c r="C73" s="275"/>
      <c r="D73" s="276"/>
      <c r="E73" s="464"/>
      <c r="F73" s="276"/>
    </row>
    <row r="74" spans="1:6" s="2" customFormat="1" ht="15.6">
      <c r="A74" s="461" t="s">
        <v>325</v>
      </c>
      <c r="B74" s="481" t="s">
        <v>51</v>
      </c>
      <c r="C74" s="277"/>
      <c r="D74" s="277"/>
      <c r="E74" s="459"/>
      <c r="F74" s="278"/>
    </row>
    <row r="75" spans="1:6" s="2" customFormat="1" ht="15">
      <c r="A75" s="461" t="s">
        <v>326</v>
      </c>
      <c r="B75" s="480" t="s">
        <v>653</v>
      </c>
      <c r="C75" s="277" t="s">
        <v>182</v>
      </c>
      <c r="D75" s="277">
        <v>1</v>
      </c>
      <c r="E75" s="459"/>
      <c r="F75" s="278">
        <f>D75*E75</f>
        <v>0</v>
      </c>
    </row>
    <row r="76" spans="1:6" s="2" customFormat="1" ht="18" customHeight="1">
      <c r="A76" s="479"/>
      <c r="B76" s="469" t="s">
        <v>52</v>
      </c>
      <c r="C76" s="279"/>
      <c r="D76" s="280"/>
      <c r="E76" s="456"/>
      <c r="F76" s="281">
        <f>SUM(F75)</f>
        <v>0</v>
      </c>
    </row>
    <row r="77" spans="1:6" s="2" customFormat="1" ht="10.95" customHeight="1">
      <c r="A77" s="463"/>
      <c r="B77" s="478"/>
      <c r="C77" s="272"/>
      <c r="D77" s="278"/>
      <c r="E77" s="466"/>
      <c r="F77" s="278"/>
    </row>
    <row r="78" spans="1:6" s="2" customFormat="1" ht="15.6">
      <c r="A78" s="465" t="s">
        <v>72</v>
      </c>
      <c r="B78" s="274" t="s">
        <v>55</v>
      </c>
      <c r="C78" s="275"/>
      <c r="D78" s="276"/>
      <c r="E78" s="464"/>
      <c r="F78" s="276"/>
    </row>
    <row r="79" spans="1:6" s="2" customFormat="1" ht="15.6">
      <c r="A79" s="463" t="s">
        <v>132</v>
      </c>
      <c r="B79" s="462" t="s">
        <v>652</v>
      </c>
      <c r="C79" s="272"/>
      <c r="D79" s="278"/>
      <c r="E79" s="466"/>
      <c r="F79" s="278"/>
    </row>
    <row r="80" spans="1:6" s="2" customFormat="1" ht="15">
      <c r="A80" s="463" t="s">
        <v>163</v>
      </c>
      <c r="B80" s="460" t="s">
        <v>327</v>
      </c>
      <c r="C80" s="272"/>
      <c r="D80" s="278"/>
      <c r="E80" s="466"/>
      <c r="F80" s="278"/>
    </row>
    <row r="81" spans="1:6" s="2" customFormat="1" ht="15">
      <c r="A81" s="463"/>
      <c r="B81" s="460" t="s">
        <v>328</v>
      </c>
      <c r="C81" s="277" t="s">
        <v>9</v>
      </c>
      <c r="D81" s="277">
        <v>2</v>
      </c>
      <c r="E81" s="459"/>
      <c r="F81" s="278">
        <f>D81*E81</f>
        <v>0</v>
      </c>
    </row>
    <row r="82" spans="1:6" s="2" customFormat="1" ht="17.55" customHeight="1">
      <c r="A82" s="467"/>
      <c r="B82" s="469" t="s">
        <v>56</v>
      </c>
      <c r="C82" s="468"/>
      <c r="D82" s="280"/>
      <c r="E82" s="456"/>
      <c r="F82" s="281">
        <f>SUM(F81:F81)</f>
        <v>0</v>
      </c>
    </row>
    <row r="83" spans="1:6" s="2" customFormat="1" ht="10.95" customHeight="1">
      <c r="A83" s="467"/>
      <c r="B83" s="271"/>
      <c r="C83" s="282"/>
      <c r="D83" s="278"/>
      <c r="E83" s="466"/>
      <c r="F83" s="278"/>
    </row>
    <row r="84" spans="1:6" s="2" customFormat="1" ht="15.6">
      <c r="A84" s="465" t="s">
        <v>54</v>
      </c>
      <c r="B84" s="274" t="s">
        <v>329</v>
      </c>
      <c r="C84" s="275"/>
      <c r="D84" s="276"/>
      <c r="E84" s="464"/>
      <c r="F84" s="276"/>
    </row>
    <row r="85" spans="1:6" s="2" customFormat="1" ht="15.6">
      <c r="A85" s="463" t="s">
        <v>330</v>
      </c>
      <c r="B85" s="462" t="s">
        <v>331</v>
      </c>
      <c r="C85" s="282"/>
      <c r="D85" s="278"/>
      <c r="E85" s="466"/>
      <c r="F85" s="278"/>
    </row>
    <row r="86" spans="1:6" s="2" customFormat="1" ht="15.6">
      <c r="A86" s="463" t="s">
        <v>332</v>
      </c>
      <c r="B86" s="462" t="s">
        <v>333</v>
      </c>
      <c r="C86" s="277"/>
      <c r="D86" s="277"/>
      <c r="E86" s="466"/>
      <c r="F86" s="278"/>
    </row>
    <row r="87" spans="1:6" s="2" customFormat="1" ht="18" customHeight="1">
      <c r="A87" s="463" t="s">
        <v>334</v>
      </c>
      <c r="B87" s="460" t="s">
        <v>651</v>
      </c>
      <c r="C87" s="277" t="s">
        <v>9</v>
      </c>
      <c r="D87" s="277">
        <v>2</v>
      </c>
      <c r="E87" s="466"/>
      <c r="F87" s="278">
        <f>D87*E87</f>
        <v>0</v>
      </c>
    </row>
    <row r="88" spans="1:6" s="2" customFormat="1" ht="30" customHeight="1">
      <c r="A88" s="463" t="s">
        <v>335</v>
      </c>
      <c r="B88" s="477" t="s">
        <v>650</v>
      </c>
      <c r="C88" s="277" t="s">
        <v>7</v>
      </c>
      <c r="D88" s="277">
        <v>6</v>
      </c>
      <c r="E88" s="459"/>
      <c r="F88" s="273">
        <f>D88*E88</f>
        <v>0</v>
      </c>
    </row>
    <row r="89" spans="1:6" s="2" customFormat="1" ht="30" customHeight="1">
      <c r="A89" s="463" t="s">
        <v>335</v>
      </c>
      <c r="B89" s="477" t="s">
        <v>649</v>
      </c>
      <c r="C89" s="277" t="s">
        <v>9</v>
      </c>
      <c r="D89" s="277">
        <v>1</v>
      </c>
      <c r="E89" s="459"/>
      <c r="F89" s="273">
        <f>D89*E89</f>
        <v>0</v>
      </c>
    </row>
    <row r="90" spans="1:6" s="2" customFormat="1" ht="17.55" customHeight="1">
      <c r="A90" s="467"/>
      <c r="B90" s="469" t="s">
        <v>336</v>
      </c>
      <c r="C90" s="468"/>
      <c r="D90" s="280"/>
      <c r="E90" s="456"/>
      <c r="F90" s="281">
        <f>SUM(F86:F89)</f>
        <v>0</v>
      </c>
    </row>
    <row r="91" spans="1:6" s="470" customFormat="1" ht="10.95" customHeight="1">
      <c r="A91" s="476"/>
      <c r="B91" s="475"/>
      <c r="C91" s="474"/>
      <c r="D91" s="473"/>
      <c r="E91" s="472"/>
      <c r="F91" s="471"/>
    </row>
    <row r="92" spans="1:6" s="2" customFormat="1" ht="15.6">
      <c r="A92" s="465" t="s">
        <v>73</v>
      </c>
      <c r="B92" s="274" t="s">
        <v>65</v>
      </c>
      <c r="C92" s="275"/>
      <c r="D92" s="276"/>
      <c r="E92" s="464"/>
      <c r="F92" s="276"/>
    </row>
    <row r="93" spans="1:6" s="2" customFormat="1" ht="15.6">
      <c r="A93" s="463" t="s">
        <v>144</v>
      </c>
      <c r="B93" s="462" t="s">
        <v>66</v>
      </c>
      <c r="C93" s="277"/>
      <c r="D93" s="277"/>
      <c r="E93" s="466"/>
      <c r="F93" s="278"/>
    </row>
    <row r="94" spans="1:6" s="2" customFormat="1" ht="18" customHeight="1">
      <c r="A94" s="463" t="s">
        <v>165</v>
      </c>
      <c r="B94" s="460" t="s">
        <v>648</v>
      </c>
      <c r="C94" s="277" t="s">
        <v>4</v>
      </c>
      <c r="D94" s="277">
        <f>2*5</f>
        <v>10</v>
      </c>
      <c r="E94" s="466"/>
      <c r="F94" s="278">
        <f>D94*E94</f>
        <v>0</v>
      </c>
    </row>
    <row r="95" spans="1:6" s="2" customFormat="1" ht="18" customHeight="1">
      <c r="A95" s="463" t="s">
        <v>337</v>
      </c>
      <c r="B95" s="460" t="s">
        <v>647</v>
      </c>
      <c r="C95" s="277" t="s">
        <v>4</v>
      </c>
      <c r="D95" s="277">
        <v>20</v>
      </c>
      <c r="E95" s="466"/>
      <c r="F95" s="278">
        <f>D95*E95</f>
        <v>0</v>
      </c>
    </row>
    <row r="96" spans="1:6" s="2" customFormat="1" ht="16.95" customHeight="1">
      <c r="A96" s="467"/>
      <c r="B96" s="469" t="s">
        <v>67</v>
      </c>
      <c r="C96" s="468"/>
      <c r="D96" s="280"/>
      <c r="E96" s="456"/>
      <c r="F96" s="281">
        <f>SUM(F93:F95)</f>
        <v>0</v>
      </c>
    </row>
    <row r="97" spans="1:6" s="2" customFormat="1" ht="15">
      <c r="A97" s="467"/>
      <c r="B97" s="271"/>
      <c r="C97" s="282"/>
      <c r="D97" s="278"/>
      <c r="E97" s="466"/>
      <c r="F97" s="278"/>
    </row>
    <row r="98" spans="1:6" s="2" customFormat="1" ht="15.6">
      <c r="A98" s="465" t="s">
        <v>74</v>
      </c>
      <c r="B98" s="274" t="s">
        <v>11</v>
      </c>
      <c r="C98" s="275"/>
      <c r="D98" s="276"/>
      <c r="E98" s="464"/>
      <c r="F98" s="276"/>
    </row>
    <row r="99" spans="1:6" s="2" customFormat="1" ht="17.25" customHeight="1">
      <c r="A99" s="463" t="s">
        <v>136</v>
      </c>
      <c r="B99" s="462" t="s">
        <v>646</v>
      </c>
      <c r="C99" s="277"/>
      <c r="D99" s="277"/>
      <c r="E99" s="459"/>
      <c r="F99" s="278"/>
    </row>
    <row r="100" spans="1:6" s="2" customFormat="1" ht="15">
      <c r="A100" s="463" t="s">
        <v>166</v>
      </c>
      <c r="B100" s="460" t="s">
        <v>645</v>
      </c>
      <c r="C100" s="277" t="s">
        <v>4</v>
      </c>
      <c r="D100" s="277">
        <v>25.45</v>
      </c>
      <c r="E100" s="459"/>
      <c r="F100" s="278">
        <f>D100*E100</f>
        <v>0</v>
      </c>
    </row>
    <row r="101" spans="1:6" s="2" customFormat="1" ht="15">
      <c r="A101" s="463" t="s">
        <v>167</v>
      </c>
      <c r="B101" s="460" t="s">
        <v>644</v>
      </c>
      <c r="C101" s="277" t="s">
        <v>4</v>
      </c>
      <c r="D101" s="277">
        <f>7*1.5</f>
        <v>10.5</v>
      </c>
      <c r="E101" s="459"/>
      <c r="F101" s="278">
        <f>D101*E101</f>
        <v>0</v>
      </c>
    </row>
    <row r="102" spans="1:6" s="2" customFormat="1" ht="15.6">
      <c r="A102" s="463" t="s">
        <v>168</v>
      </c>
      <c r="B102" s="462" t="s">
        <v>63</v>
      </c>
      <c r="C102" s="277"/>
      <c r="D102" s="277"/>
      <c r="E102" s="459"/>
      <c r="F102" s="278"/>
    </row>
    <row r="103" spans="1:6" s="2" customFormat="1" ht="15">
      <c r="A103" s="463" t="s">
        <v>169</v>
      </c>
      <c r="B103" s="460" t="s">
        <v>60</v>
      </c>
      <c r="C103" s="277" t="s">
        <v>4</v>
      </c>
      <c r="D103" s="277">
        <f>10*1.5</f>
        <v>15</v>
      </c>
      <c r="E103" s="459"/>
      <c r="F103" s="278">
        <f>D103*E103</f>
        <v>0</v>
      </c>
    </row>
    <row r="104" spans="1:6" s="2" customFormat="1" ht="15.6">
      <c r="A104" s="461" t="s">
        <v>170</v>
      </c>
      <c r="B104" s="462" t="s">
        <v>57</v>
      </c>
      <c r="C104" s="277"/>
      <c r="D104" s="277"/>
      <c r="E104" s="459"/>
      <c r="F104" s="278"/>
    </row>
    <row r="105" spans="1:6" s="2" customFormat="1" ht="15">
      <c r="A105" s="461" t="s">
        <v>171</v>
      </c>
      <c r="B105" s="460" t="s">
        <v>338</v>
      </c>
      <c r="C105" s="277" t="s">
        <v>4</v>
      </c>
      <c r="D105" s="277">
        <f>2*2*0.7*2</f>
        <v>5.6</v>
      </c>
      <c r="E105" s="459"/>
      <c r="F105" s="278">
        <f>D105*E105</f>
        <v>0</v>
      </c>
    </row>
    <row r="106" spans="1:6" s="455" customFormat="1" ht="16.95" customHeight="1">
      <c r="A106" s="283"/>
      <c r="B106" s="458" t="s">
        <v>58</v>
      </c>
      <c r="C106" s="457"/>
      <c r="D106" s="280"/>
      <c r="E106" s="456"/>
      <c r="F106" s="281">
        <f>SUM(F100:F105)</f>
        <v>0</v>
      </c>
    </row>
    <row r="107" spans="1:6" s="2" customFormat="1" ht="15">
      <c r="A107" s="454"/>
      <c r="B107" s="452"/>
      <c r="C107" s="452"/>
      <c r="D107" s="452"/>
      <c r="E107" s="453"/>
      <c r="F107" s="452"/>
    </row>
    <row r="108" spans="1:6" s="2" customFormat="1" ht="20.25" customHeight="1">
      <c r="A108" s="542" t="s">
        <v>643</v>
      </c>
      <c r="B108" s="543"/>
      <c r="C108" s="544"/>
      <c r="D108" s="451"/>
      <c r="E108" s="285"/>
      <c r="F108" s="284">
        <f>F13+F53+F61+F71+F76+F82+F90+F96+F106</f>
        <v>0</v>
      </c>
    </row>
    <row r="109" spans="1:6">
      <c r="E109" s="286"/>
    </row>
    <row r="110" spans="1:6" s="2" customFormat="1" ht="20.25" customHeight="1">
      <c r="A110" s="542" t="s">
        <v>371</v>
      </c>
      <c r="B110" s="543"/>
      <c r="C110" s="544"/>
      <c r="D110" s="287">
        <v>0.1</v>
      </c>
      <c r="E110" s="285"/>
      <c r="F110" s="284">
        <f>F108*D110</f>
        <v>0</v>
      </c>
    </row>
    <row r="111" spans="1:6">
      <c r="E111" s="286"/>
    </row>
    <row r="112" spans="1:6" s="2" customFormat="1" ht="20.25" customHeight="1">
      <c r="A112" s="542" t="s">
        <v>642</v>
      </c>
      <c r="B112" s="543"/>
      <c r="C112" s="544"/>
      <c r="D112" s="451"/>
      <c r="E112" s="285"/>
      <c r="F112" s="284">
        <v>3</v>
      </c>
    </row>
    <row r="113" spans="1:6">
      <c r="E113" s="286"/>
    </row>
    <row r="114" spans="1:6" s="2" customFormat="1" ht="20.25" customHeight="1">
      <c r="A114" s="542" t="s">
        <v>641</v>
      </c>
      <c r="B114" s="543"/>
      <c r="C114" s="544"/>
      <c r="D114" s="451"/>
      <c r="E114" s="285"/>
      <c r="F114" s="284">
        <f>(F108+F110)*F112</f>
        <v>0</v>
      </c>
    </row>
    <row r="115" spans="1:6">
      <c r="E115" s="286"/>
    </row>
    <row r="116" spans="1:6" s="2" customFormat="1" ht="15">
      <c r="A116" s="232"/>
      <c r="B116" s="232"/>
      <c r="D116" s="3"/>
      <c r="E116" s="3"/>
      <c r="F116" s="3"/>
    </row>
  </sheetData>
  <sheetProtection selectLockedCells="1"/>
  <mergeCells count="5">
    <mergeCell ref="A3:F3"/>
    <mergeCell ref="A108:C108"/>
    <mergeCell ref="A112:C112"/>
    <mergeCell ref="A114:C114"/>
    <mergeCell ref="A110:C110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A440-FA02-45BC-B354-42A76BDB180B}">
  <dimension ref="A1:H41"/>
  <sheetViews>
    <sheetView view="pageBreakPreview" topLeftCell="A30" zoomScaleNormal="100" zoomScaleSheetLayoutView="100" workbookViewId="0">
      <selection activeCell="J39" sqref="J39"/>
    </sheetView>
  </sheetViews>
  <sheetFormatPr baseColWidth="10" defaultColWidth="8" defaultRowHeight="13.2"/>
  <cols>
    <col min="1" max="1" width="1.77734375" style="387" customWidth="1"/>
    <col min="2" max="2" width="4" style="387" customWidth="1"/>
    <col min="3" max="3" width="62.21875" style="387" customWidth="1"/>
    <col min="4" max="4" width="5" style="387" customWidth="1"/>
    <col min="5" max="5" width="7.21875" style="387" customWidth="1"/>
    <col min="6" max="6" width="12.5546875" style="387" customWidth="1"/>
    <col min="7" max="7" width="15.21875" style="387" customWidth="1"/>
    <col min="8" max="8" width="5.77734375" style="387" customWidth="1"/>
    <col min="9" max="16384" width="8" style="387"/>
  </cols>
  <sheetData>
    <row r="1" spans="1:8" s="388" customFormat="1" ht="37.5" customHeight="1" thickBot="1">
      <c r="B1" s="545" t="s">
        <v>630</v>
      </c>
      <c r="C1" s="546"/>
      <c r="D1" s="546"/>
      <c r="E1" s="546"/>
      <c r="F1" s="546"/>
      <c r="G1" s="547"/>
      <c r="H1" s="426"/>
    </row>
    <row r="2" spans="1:8" s="388" customFormat="1" ht="15.75" customHeight="1">
      <c r="A2" s="400"/>
      <c r="B2" s="423" t="s">
        <v>629</v>
      </c>
      <c r="C2" s="423" t="s">
        <v>628</v>
      </c>
      <c r="D2" s="425" t="s">
        <v>75</v>
      </c>
      <c r="E2" s="424" t="s">
        <v>627</v>
      </c>
      <c r="F2" s="423" t="s">
        <v>626</v>
      </c>
      <c r="G2" s="423" t="s">
        <v>625</v>
      </c>
      <c r="H2" s="400"/>
    </row>
    <row r="3" spans="1:8" s="388" customFormat="1" ht="15.75" customHeight="1">
      <c r="A3" s="400"/>
      <c r="B3" s="419">
        <v>1</v>
      </c>
      <c r="C3" s="414" t="s">
        <v>624</v>
      </c>
      <c r="D3" s="418"/>
      <c r="E3" s="408"/>
      <c r="F3" s="408"/>
      <c r="G3" s="408"/>
      <c r="H3" s="400"/>
    </row>
    <row r="4" spans="1:8" s="388" customFormat="1" ht="15.75" customHeight="1">
      <c r="A4" s="400"/>
      <c r="B4" s="408"/>
      <c r="C4" s="414" t="s">
        <v>623</v>
      </c>
      <c r="D4" s="411" t="s">
        <v>608</v>
      </c>
      <c r="E4" s="410">
        <v>1</v>
      </c>
      <c r="F4" s="404"/>
      <c r="G4" s="403">
        <f>E4*F4</f>
        <v>0</v>
      </c>
      <c r="H4" s="400"/>
    </row>
    <row r="5" spans="1:8" s="388" customFormat="1" ht="15.75" customHeight="1">
      <c r="A5" s="400"/>
      <c r="B5" s="419">
        <v>2</v>
      </c>
      <c r="C5" s="422" t="s">
        <v>622</v>
      </c>
      <c r="D5" s="418"/>
      <c r="E5" s="408"/>
      <c r="F5" s="408"/>
      <c r="G5" s="403"/>
      <c r="H5" s="400"/>
    </row>
    <row r="6" spans="1:8" s="388" customFormat="1" ht="15.75" customHeight="1">
      <c r="A6" s="400"/>
      <c r="B6" s="408"/>
      <c r="C6" s="414" t="s">
        <v>621</v>
      </c>
      <c r="D6" s="416" t="s">
        <v>7</v>
      </c>
      <c r="E6" s="415">
        <v>30</v>
      </c>
      <c r="F6" s="404"/>
      <c r="G6" s="403">
        <f>E6*F6</f>
        <v>0</v>
      </c>
      <c r="H6" s="400"/>
    </row>
    <row r="7" spans="1:8" s="388" customFormat="1" ht="15.75" customHeight="1">
      <c r="A7" s="400"/>
      <c r="B7" s="408"/>
      <c r="C7" s="414" t="s">
        <v>620</v>
      </c>
      <c r="D7" s="416" t="s">
        <v>7</v>
      </c>
      <c r="E7" s="415">
        <v>70</v>
      </c>
      <c r="F7" s="404"/>
      <c r="G7" s="403">
        <f>E7*F7</f>
        <v>0</v>
      </c>
      <c r="H7" s="400"/>
    </row>
    <row r="8" spans="1:8" s="388" customFormat="1" ht="15.75" customHeight="1">
      <c r="A8" s="400"/>
      <c r="B8" s="419">
        <v>3</v>
      </c>
      <c r="C8" s="422" t="s">
        <v>619</v>
      </c>
      <c r="D8" s="418"/>
      <c r="E8" s="408"/>
      <c r="F8" s="408"/>
      <c r="G8" s="403"/>
      <c r="H8" s="400"/>
    </row>
    <row r="9" spans="1:8" s="388" customFormat="1" ht="15.75" customHeight="1">
      <c r="A9" s="400"/>
      <c r="B9" s="408"/>
      <c r="C9" s="414" t="s">
        <v>618</v>
      </c>
      <c r="D9" s="416" t="s">
        <v>7</v>
      </c>
      <c r="E9" s="415">
        <v>82</v>
      </c>
      <c r="F9" s="404"/>
      <c r="G9" s="403">
        <f>E9*F9</f>
        <v>0</v>
      </c>
      <c r="H9" s="400"/>
    </row>
    <row r="10" spans="1:8" s="388" customFormat="1" ht="15.75" customHeight="1">
      <c r="A10" s="400"/>
      <c r="B10" s="408"/>
      <c r="C10" s="414" t="s">
        <v>617</v>
      </c>
      <c r="D10" s="416" t="s">
        <v>7</v>
      </c>
      <c r="E10" s="415">
        <v>18</v>
      </c>
      <c r="F10" s="404"/>
      <c r="G10" s="403">
        <f>E10*F10</f>
        <v>0</v>
      </c>
      <c r="H10" s="400"/>
    </row>
    <row r="11" spans="1:8" s="388" customFormat="1" ht="31.5" customHeight="1">
      <c r="A11" s="420"/>
      <c r="B11" s="421"/>
      <c r="C11" s="414" t="s">
        <v>616</v>
      </c>
      <c r="D11" s="416" t="s">
        <v>7</v>
      </c>
      <c r="E11" s="415">
        <v>40</v>
      </c>
      <c r="F11" s="404"/>
      <c r="G11" s="403">
        <f>E11*F11</f>
        <v>0</v>
      </c>
      <c r="H11" s="420"/>
    </row>
    <row r="12" spans="1:8" s="388" customFormat="1" ht="15.75" customHeight="1">
      <c r="A12" s="400"/>
      <c r="B12" s="408"/>
      <c r="C12" s="414" t="s">
        <v>615</v>
      </c>
      <c r="D12" s="411" t="s">
        <v>608</v>
      </c>
      <c r="E12" s="410">
        <v>1</v>
      </c>
      <c r="F12" s="404"/>
      <c r="G12" s="403">
        <f>E12*F12</f>
        <v>0</v>
      </c>
      <c r="H12" s="400"/>
    </row>
    <row r="13" spans="1:8" s="388" customFormat="1" ht="15.75" customHeight="1">
      <c r="A13" s="400"/>
      <c r="B13" s="419">
        <v>4</v>
      </c>
      <c r="C13" s="414" t="s">
        <v>614</v>
      </c>
      <c r="D13" s="418"/>
      <c r="E13" s="408"/>
      <c r="F13" s="408"/>
      <c r="G13" s="403"/>
      <c r="H13" s="400"/>
    </row>
    <row r="14" spans="1:8" s="388" customFormat="1" ht="15.75" customHeight="1">
      <c r="A14" s="400"/>
      <c r="B14" s="408"/>
      <c r="C14" s="414" t="s">
        <v>613</v>
      </c>
      <c r="D14" s="411" t="s">
        <v>608</v>
      </c>
      <c r="E14" s="410">
        <v>1</v>
      </c>
      <c r="F14" s="404"/>
      <c r="G14" s="403">
        <f>E14*F14</f>
        <v>0</v>
      </c>
      <c r="H14" s="400"/>
    </row>
    <row r="15" spans="1:8" s="388" customFormat="1" ht="15.75" customHeight="1">
      <c r="A15" s="400"/>
      <c r="B15" s="419">
        <v>5</v>
      </c>
      <c r="C15" s="414" t="s">
        <v>612</v>
      </c>
      <c r="D15" s="418"/>
      <c r="E15" s="408"/>
      <c r="F15" s="408"/>
      <c r="G15" s="403"/>
      <c r="H15" s="400"/>
    </row>
    <row r="16" spans="1:8" s="388" customFormat="1" ht="15.75" customHeight="1">
      <c r="A16" s="400"/>
      <c r="B16" s="408"/>
      <c r="C16" s="414" t="s">
        <v>611</v>
      </c>
      <c r="D16" s="411" t="s">
        <v>608</v>
      </c>
      <c r="E16" s="410">
        <v>1</v>
      </c>
      <c r="F16" s="404"/>
      <c r="G16" s="403">
        <f>E16*F16</f>
        <v>0</v>
      </c>
      <c r="H16" s="400"/>
    </row>
    <row r="17" spans="1:8" s="388" customFormat="1" ht="15.75" customHeight="1">
      <c r="A17" s="400"/>
      <c r="B17" s="419">
        <v>6</v>
      </c>
      <c r="C17" s="414" t="s">
        <v>610</v>
      </c>
      <c r="D17" s="418"/>
      <c r="E17" s="408"/>
      <c r="F17" s="408"/>
      <c r="G17" s="403"/>
      <c r="H17" s="400"/>
    </row>
    <row r="18" spans="1:8" s="388" customFormat="1" ht="27" customHeight="1">
      <c r="A18" s="400"/>
      <c r="B18" s="408"/>
      <c r="C18" s="417" t="s">
        <v>609</v>
      </c>
      <c r="D18" s="411" t="s">
        <v>608</v>
      </c>
      <c r="E18" s="410">
        <v>1</v>
      </c>
      <c r="F18" s="404"/>
      <c r="G18" s="403">
        <f t="shared" ref="G18:G25" si="0">E18*F18</f>
        <v>0</v>
      </c>
      <c r="H18" s="400"/>
    </row>
    <row r="19" spans="1:8" s="388" customFormat="1" ht="15.75" customHeight="1">
      <c r="A19" s="400"/>
      <c r="B19" s="408"/>
      <c r="C19" s="414" t="s">
        <v>607</v>
      </c>
      <c r="D19" s="411" t="s">
        <v>9</v>
      </c>
      <c r="E19" s="410">
        <v>1</v>
      </c>
      <c r="F19" s="404"/>
      <c r="G19" s="403">
        <f t="shared" si="0"/>
        <v>0</v>
      </c>
      <c r="H19" s="400"/>
    </row>
    <row r="20" spans="1:8" s="388" customFormat="1" ht="15.75" customHeight="1">
      <c r="A20" s="400"/>
      <c r="B20" s="408"/>
      <c r="C20" s="414" t="s">
        <v>606</v>
      </c>
      <c r="D20" s="411" t="s">
        <v>9</v>
      </c>
      <c r="E20" s="410">
        <v>1</v>
      </c>
      <c r="F20" s="404"/>
      <c r="G20" s="403">
        <f t="shared" si="0"/>
        <v>0</v>
      </c>
      <c r="H20" s="400"/>
    </row>
    <row r="21" spans="1:8" s="388" customFormat="1" ht="15.75" customHeight="1">
      <c r="A21" s="400"/>
      <c r="B21" s="408"/>
      <c r="C21" s="414" t="s">
        <v>605</v>
      </c>
      <c r="D21" s="416" t="s">
        <v>7</v>
      </c>
      <c r="E21" s="415">
        <v>100</v>
      </c>
      <c r="F21" s="404"/>
      <c r="G21" s="403">
        <f t="shared" si="0"/>
        <v>0</v>
      </c>
      <c r="H21" s="400"/>
    </row>
    <row r="22" spans="1:8" s="388" customFormat="1" ht="15.75" customHeight="1">
      <c r="A22" s="400"/>
      <c r="B22" s="408"/>
      <c r="C22" s="414" t="s">
        <v>604</v>
      </c>
      <c r="D22" s="416" t="s">
        <v>7</v>
      </c>
      <c r="E22" s="415">
        <v>60</v>
      </c>
      <c r="F22" s="404"/>
      <c r="G22" s="403">
        <f t="shared" si="0"/>
        <v>0</v>
      </c>
      <c r="H22" s="400"/>
    </row>
    <row r="23" spans="1:8" s="388" customFormat="1" ht="15.75" customHeight="1">
      <c r="A23" s="400"/>
      <c r="B23" s="408"/>
      <c r="C23" s="414" t="s">
        <v>603</v>
      </c>
      <c r="D23" s="411" t="s">
        <v>9</v>
      </c>
      <c r="E23" s="410">
        <v>1</v>
      </c>
      <c r="F23" s="404"/>
      <c r="G23" s="403">
        <f t="shared" si="0"/>
        <v>0</v>
      </c>
      <c r="H23" s="400"/>
    </row>
    <row r="24" spans="1:8" s="388" customFormat="1" ht="15.75" customHeight="1">
      <c r="A24" s="400"/>
      <c r="B24" s="408"/>
      <c r="C24" s="414" t="s">
        <v>602</v>
      </c>
      <c r="D24" s="411" t="s">
        <v>9</v>
      </c>
      <c r="E24" s="410">
        <v>1</v>
      </c>
      <c r="F24" s="404"/>
      <c r="G24" s="403">
        <f t="shared" si="0"/>
        <v>0</v>
      </c>
      <c r="H24" s="400"/>
    </row>
    <row r="25" spans="1:8" s="388" customFormat="1" ht="15.75" customHeight="1">
      <c r="A25" s="400"/>
      <c r="B25" s="408"/>
      <c r="C25" s="414" t="s">
        <v>601</v>
      </c>
      <c r="D25" s="413" t="s">
        <v>600</v>
      </c>
      <c r="E25" s="410">
        <v>1</v>
      </c>
      <c r="F25" s="404"/>
      <c r="G25" s="403">
        <f t="shared" si="0"/>
        <v>0</v>
      </c>
      <c r="H25" s="400"/>
    </row>
    <row r="26" spans="1:8" s="388" customFormat="1" ht="15.75" customHeight="1">
      <c r="A26" s="400"/>
      <c r="B26" s="408"/>
      <c r="C26" s="412" t="s">
        <v>599</v>
      </c>
      <c r="D26" s="411"/>
      <c r="E26" s="410"/>
      <c r="F26" s="404"/>
      <c r="G26" s="403"/>
      <c r="H26" s="400"/>
    </row>
    <row r="27" spans="1:8" s="388" customFormat="1" ht="15.75" customHeight="1">
      <c r="A27" s="400"/>
      <c r="B27" s="408"/>
      <c r="C27" s="407" t="s">
        <v>598</v>
      </c>
      <c r="D27" s="406" t="s">
        <v>7</v>
      </c>
      <c r="E27" s="405">
        <v>8</v>
      </c>
      <c r="F27" s="404"/>
      <c r="G27" s="403">
        <f t="shared" ref="G27:G33" si="1">E27*F27</f>
        <v>0</v>
      </c>
      <c r="H27" s="400"/>
    </row>
    <row r="28" spans="1:8" s="388" customFormat="1" ht="15.75" customHeight="1">
      <c r="A28" s="400"/>
      <c r="B28" s="408"/>
      <c r="C28" s="407" t="s">
        <v>597</v>
      </c>
      <c r="D28" s="406" t="s">
        <v>10</v>
      </c>
      <c r="E28" s="409">
        <f>8*0.1*0.5</f>
        <v>0.4</v>
      </c>
      <c r="F28" s="404"/>
      <c r="G28" s="403">
        <f t="shared" si="1"/>
        <v>0</v>
      </c>
      <c r="H28" s="400"/>
    </row>
    <row r="29" spans="1:8" s="388" customFormat="1" ht="15.75" customHeight="1">
      <c r="A29" s="400"/>
      <c r="B29" s="408"/>
      <c r="C29" s="407" t="s">
        <v>596</v>
      </c>
      <c r="D29" s="406" t="s">
        <v>4</v>
      </c>
      <c r="E29" s="405">
        <f>8*0.45</f>
        <v>3.6</v>
      </c>
      <c r="F29" s="404"/>
      <c r="G29" s="403">
        <f t="shared" si="1"/>
        <v>0</v>
      </c>
      <c r="H29" s="400"/>
    </row>
    <row r="30" spans="1:8" s="388" customFormat="1" ht="15.75" customHeight="1">
      <c r="A30" s="400"/>
      <c r="B30" s="408"/>
      <c r="C30" s="407" t="s">
        <v>595</v>
      </c>
      <c r="D30" s="406" t="s">
        <v>10</v>
      </c>
      <c r="E30" s="409">
        <f>8*0.2*0.15</f>
        <v>0.24</v>
      </c>
      <c r="F30" s="404"/>
      <c r="G30" s="403">
        <f t="shared" si="1"/>
        <v>0</v>
      </c>
      <c r="H30" s="400"/>
    </row>
    <row r="31" spans="1:8" s="388" customFormat="1" ht="15.75" customHeight="1">
      <c r="A31" s="400"/>
      <c r="B31" s="408"/>
      <c r="C31" s="407" t="s">
        <v>594</v>
      </c>
      <c r="D31" s="406" t="s">
        <v>4</v>
      </c>
      <c r="E31" s="405">
        <f>8*2</f>
        <v>16</v>
      </c>
      <c r="F31" s="404"/>
      <c r="G31" s="403">
        <f t="shared" si="1"/>
        <v>0</v>
      </c>
      <c r="H31" s="400"/>
    </row>
    <row r="32" spans="1:8" s="388" customFormat="1" ht="15.75" customHeight="1">
      <c r="A32" s="400"/>
      <c r="B32" s="408"/>
      <c r="C32" s="407" t="s">
        <v>593</v>
      </c>
      <c r="D32" s="406" t="s">
        <v>9</v>
      </c>
      <c r="E32" s="405">
        <v>1</v>
      </c>
      <c r="F32" s="404"/>
      <c r="G32" s="403">
        <f t="shared" si="1"/>
        <v>0</v>
      </c>
      <c r="H32" s="400"/>
    </row>
    <row r="33" spans="1:8" s="388" customFormat="1" ht="15.75" customHeight="1">
      <c r="A33" s="400"/>
      <c r="B33" s="408"/>
      <c r="C33" s="407" t="s">
        <v>592</v>
      </c>
      <c r="D33" s="406" t="s">
        <v>4</v>
      </c>
      <c r="E33" s="405">
        <f>8*2*2</f>
        <v>32</v>
      </c>
      <c r="F33" s="404"/>
      <c r="G33" s="403">
        <f t="shared" si="1"/>
        <v>0</v>
      </c>
      <c r="H33" s="400"/>
    </row>
    <row r="34" spans="1:8" s="388" customFormat="1" ht="18.75" customHeight="1">
      <c r="A34" s="400"/>
      <c r="B34" s="402">
        <v>9</v>
      </c>
      <c r="C34" s="548" t="s">
        <v>591</v>
      </c>
      <c r="D34" s="549"/>
      <c r="E34" s="549"/>
      <c r="F34" s="550"/>
      <c r="G34" s="401">
        <f>SUM(G4:G33)</f>
        <v>0</v>
      </c>
      <c r="H34" s="400"/>
    </row>
    <row r="35" spans="1:8" s="389" customFormat="1" ht="18.600000000000001" thickBot="1">
      <c r="A35" s="397"/>
      <c r="C35" s="397"/>
      <c r="D35" s="397"/>
      <c r="E35" s="396"/>
    </row>
    <row r="36" spans="1:8" s="389" customFormat="1" ht="18.75" customHeight="1" thickBot="1">
      <c r="B36" s="395"/>
      <c r="C36" s="394" t="s">
        <v>590</v>
      </c>
      <c r="D36" s="391"/>
      <c r="E36" s="399">
        <v>0.1</v>
      </c>
      <c r="F36" s="391"/>
      <c r="G36" s="390">
        <f>G34*E36</f>
        <v>0</v>
      </c>
    </row>
    <row r="37" spans="1:8" s="389" customFormat="1" ht="18.600000000000001" thickBot="1">
      <c r="A37" s="397"/>
      <c r="B37" s="398"/>
      <c r="C37" s="397"/>
      <c r="D37" s="397"/>
      <c r="E37" s="396"/>
    </row>
    <row r="38" spans="1:8" s="389" customFormat="1" ht="18.75" customHeight="1" thickBot="1">
      <c r="B38" s="395"/>
      <c r="C38" s="394" t="s">
        <v>589</v>
      </c>
      <c r="D38" s="393"/>
      <c r="E38" s="392"/>
      <c r="F38" s="391"/>
      <c r="G38" s="390">
        <f>(G34+G36)</f>
        <v>0</v>
      </c>
    </row>
    <row r="39" spans="1:8" s="388" customFormat="1" ht="60" customHeight="1">
      <c r="A39" s="551"/>
      <c r="B39" s="552"/>
      <c r="C39" s="552"/>
      <c r="D39" s="552"/>
      <c r="E39" s="552"/>
      <c r="F39" s="552"/>
      <c r="G39" s="552"/>
      <c r="H39" s="552"/>
    </row>
    <row r="40" spans="1:8" ht="18.75" customHeight="1">
      <c r="A40" s="553"/>
      <c r="B40" s="553"/>
      <c r="C40" s="553"/>
      <c r="D40" s="553"/>
      <c r="E40" s="553"/>
      <c r="F40" s="553"/>
      <c r="G40" s="553"/>
      <c r="H40" s="553"/>
    </row>
    <row r="41" spans="1:8" ht="51" customHeight="1"/>
  </sheetData>
  <mergeCells count="4">
    <mergeCell ref="B1:G1"/>
    <mergeCell ref="C34:F34"/>
    <mergeCell ref="A39:H39"/>
    <mergeCell ref="A40:H40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9"/>
  <sheetViews>
    <sheetView showGridLines="0" view="pageBreakPreview" topLeftCell="A6" zoomScale="90" zoomScaleSheetLayoutView="90" workbookViewId="0">
      <selection activeCell="I18" sqref="I18"/>
    </sheetView>
  </sheetViews>
  <sheetFormatPr baseColWidth="10" defaultColWidth="11.44140625" defaultRowHeight="15"/>
  <cols>
    <col min="1" max="1" width="8.5546875" style="311" customWidth="1"/>
    <col min="2" max="2" width="61.21875" style="232" bestFit="1" customWidth="1"/>
    <col min="3" max="3" width="8.5546875" style="2" customWidth="1"/>
    <col min="4" max="4" width="10.5546875" style="3" customWidth="1"/>
    <col min="5" max="5" width="11.21875" style="3" customWidth="1"/>
    <col min="6" max="6" width="12.77734375" style="3" customWidth="1"/>
    <col min="7" max="16384" width="11.44140625" style="2"/>
  </cols>
  <sheetData>
    <row r="2" spans="1:6">
      <c r="A2" s="331"/>
      <c r="B2" s="1"/>
    </row>
    <row r="3" spans="1:6">
      <c r="A3" s="331"/>
      <c r="B3" s="1"/>
    </row>
    <row r="4" spans="1:6" ht="24.6" customHeight="1">
      <c r="A4" s="331"/>
      <c r="B4" s="1"/>
    </row>
    <row r="5" spans="1:6" ht="40.950000000000003" customHeight="1" thickBot="1">
      <c r="A5" s="554" t="s">
        <v>581</v>
      </c>
      <c r="B5" s="555"/>
      <c r="C5" s="555"/>
      <c r="D5" s="555"/>
      <c r="E5" s="555"/>
      <c r="F5" s="556"/>
    </row>
    <row r="6" spans="1:6" s="270" customFormat="1" ht="42" thickTop="1">
      <c r="A6" s="330" t="s">
        <v>12</v>
      </c>
      <c r="B6" s="329" t="s">
        <v>8</v>
      </c>
      <c r="C6" s="328" t="s">
        <v>0</v>
      </c>
      <c r="D6" s="328" t="s">
        <v>2</v>
      </c>
      <c r="E6" s="328" t="s">
        <v>3</v>
      </c>
      <c r="F6" s="328" t="s">
        <v>1</v>
      </c>
    </row>
    <row r="7" spans="1:6">
      <c r="A7" s="283"/>
      <c r="B7" s="271"/>
      <c r="C7" s="272"/>
      <c r="D7" s="273"/>
      <c r="E7" s="273"/>
      <c r="F7" s="273"/>
    </row>
    <row r="8" spans="1:6" ht="18" customHeight="1">
      <c r="A8" s="327" t="s">
        <v>13</v>
      </c>
      <c r="B8" s="274" t="s">
        <v>580</v>
      </c>
      <c r="C8" s="275"/>
      <c r="D8" s="276"/>
      <c r="E8" s="276"/>
      <c r="F8" s="276"/>
    </row>
    <row r="9" spans="1:6" ht="31.2" customHeight="1">
      <c r="A9" s="324">
        <v>1</v>
      </c>
      <c r="B9" s="326" t="s">
        <v>583</v>
      </c>
      <c r="C9" s="282"/>
      <c r="D9" s="282"/>
      <c r="E9" s="278"/>
      <c r="F9" s="278"/>
    </row>
    <row r="10" spans="1:6" ht="18" customHeight="1">
      <c r="A10" s="324">
        <v>2</v>
      </c>
      <c r="B10" s="325" t="s">
        <v>584</v>
      </c>
      <c r="C10" s="282" t="s">
        <v>10</v>
      </c>
      <c r="D10" s="282">
        <f>20*15*0.2</f>
        <v>60</v>
      </c>
      <c r="E10" s="278"/>
      <c r="F10" s="278">
        <f>D10*E10</f>
        <v>0</v>
      </c>
    </row>
    <row r="11" spans="1:6" ht="18" customHeight="1">
      <c r="A11" s="324">
        <v>3</v>
      </c>
      <c r="B11" s="325" t="s">
        <v>579</v>
      </c>
      <c r="C11" s="282" t="s">
        <v>9</v>
      </c>
      <c r="D11" s="282">
        <v>120</v>
      </c>
      <c r="E11" s="278"/>
      <c r="F11" s="278">
        <f>D11*E11</f>
        <v>0</v>
      </c>
    </row>
    <row r="12" spans="1:6" ht="18" customHeight="1">
      <c r="A12" s="324">
        <v>4</v>
      </c>
      <c r="B12" s="323" t="s">
        <v>582</v>
      </c>
      <c r="C12" s="277" t="s">
        <v>182</v>
      </c>
      <c r="D12" s="277">
        <v>1</v>
      </c>
      <c r="E12" s="273"/>
      <c r="F12" s="278">
        <f>D12*E12</f>
        <v>0</v>
      </c>
    </row>
    <row r="13" spans="1:6" ht="18" customHeight="1">
      <c r="A13" s="324">
        <v>5</v>
      </c>
      <c r="B13" s="323" t="s">
        <v>578</v>
      </c>
      <c r="C13" s="277" t="s">
        <v>10</v>
      </c>
      <c r="D13" s="277">
        <f>20*15*0.4</f>
        <v>120</v>
      </c>
      <c r="E13" s="273"/>
      <c r="F13" s="278">
        <f>D13*E13</f>
        <v>0</v>
      </c>
    </row>
    <row r="14" spans="1:6" ht="11.55" customHeight="1">
      <c r="A14" s="322"/>
      <c r="B14" s="321"/>
      <c r="C14" s="320"/>
      <c r="D14" s="319"/>
      <c r="E14" s="319"/>
      <c r="F14" s="319"/>
    </row>
    <row r="15" spans="1:6" ht="17.399999999999999">
      <c r="A15" s="283"/>
      <c r="B15" s="318" t="s">
        <v>577</v>
      </c>
      <c r="C15" s="279"/>
      <c r="D15" s="280"/>
      <c r="E15" s="280"/>
      <c r="F15" s="281">
        <f>SUM(F9:F13)</f>
        <v>0</v>
      </c>
    </row>
    <row r="17" spans="1:6" s="312" customFormat="1" ht="15.6">
      <c r="A17" s="316"/>
      <c r="B17" s="315" t="s">
        <v>576</v>
      </c>
      <c r="D17" s="314"/>
      <c r="E17" s="314"/>
      <c r="F17" s="313">
        <v>1</v>
      </c>
    </row>
    <row r="18" spans="1:6" s="312" customFormat="1" ht="15.6">
      <c r="A18" s="316"/>
      <c r="B18" s="317"/>
      <c r="D18" s="314"/>
      <c r="E18" s="314"/>
      <c r="F18" s="314"/>
    </row>
    <row r="19" spans="1:6" s="312" customFormat="1" ht="15.6">
      <c r="A19" s="316"/>
      <c r="B19" s="315" t="s">
        <v>575</v>
      </c>
      <c r="D19" s="314"/>
      <c r="E19" s="314"/>
      <c r="F19" s="313">
        <f>F15*F17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23"/>
  <sheetViews>
    <sheetView tabSelected="1" view="pageBreakPreview" topLeftCell="A9" zoomScale="90" zoomScaleNormal="100" zoomScaleSheetLayoutView="90" workbookViewId="0">
      <selection activeCell="B19" sqref="B19"/>
    </sheetView>
  </sheetViews>
  <sheetFormatPr baseColWidth="10" defaultRowHeight="14.4"/>
  <cols>
    <col min="1" max="1" width="68.77734375" style="231" customWidth="1"/>
    <col min="2" max="2" width="23.77734375" customWidth="1"/>
  </cols>
  <sheetData>
    <row r="1" spans="1:2" ht="88.95" customHeight="1" thickBot="1">
      <c r="A1" s="557"/>
      <c r="B1" s="557"/>
    </row>
    <row r="2" spans="1:2" ht="4.95" hidden="1" customHeight="1" thickBot="1"/>
    <row r="3" spans="1:2" s="29" customFormat="1" ht="25.5" customHeight="1">
      <c r="A3" s="558" t="s">
        <v>685</v>
      </c>
      <c r="B3" s="559"/>
    </row>
    <row r="4" spans="1:2" s="29" customFormat="1" ht="12.75" customHeight="1">
      <c r="A4" s="254"/>
      <c r="B4" s="255"/>
    </row>
    <row r="5" spans="1:2" s="29" customFormat="1" ht="15">
      <c r="A5" s="106"/>
      <c r="B5" s="259"/>
    </row>
    <row r="6" spans="1:2" s="29" customFormat="1" ht="27.6" customHeight="1">
      <c r="A6" s="258" t="s">
        <v>672</v>
      </c>
      <c r="B6" s="261">
        <f>'REHA 3 cls + bur'!F202</f>
        <v>0</v>
      </c>
    </row>
    <row r="7" spans="1:2" s="29" customFormat="1" ht="15">
      <c r="A7" s="106"/>
      <c r="B7" s="259"/>
    </row>
    <row r="8" spans="1:2" s="29" customFormat="1" ht="27.6" customHeight="1">
      <c r="A8" s="258" t="s">
        <v>280</v>
      </c>
      <c r="B8" s="261">
        <f>'DQE 3 cls + bureau '!F125</f>
        <v>0</v>
      </c>
    </row>
    <row r="9" spans="1:2" s="29" customFormat="1" ht="27.6" customHeight="1">
      <c r="A9" s="508"/>
      <c r="B9" s="509"/>
    </row>
    <row r="10" spans="1:2" s="29" customFormat="1" ht="27.6" customHeight="1">
      <c r="A10" s="258" t="s">
        <v>683</v>
      </c>
      <c r="B10" s="507">
        <f>'DQE Reconst 3 cls'!F114</f>
        <v>0</v>
      </c>
    </row>
    <row r="11" spans="1:2" s="29" customFormat="1" ht="24" customHeight="1">
      <c r="A11" s="106"/>
      <c r="B11" s="260"/>
    </row>
    <row r="12" spans="1:2" s="29" customFormat="1" ht="27.6" customHeight="1">
      <c r="A12" s="107" t="s">
        <v>281</v>
      </c>
      <c r="B12" s="108">
        <f>'DQE cantine'!E134</f>
        <v>0</v>
      </c>
    </row>
    <row r="13" spans="1:2" s="29" customFormat="1" ht="27.6" customHeight="1">
      <c r="A13" s="110"/>
      <c r="B13" s="510"/>
    </row>
    <row r="14" spans="1:2" s="29" customFormat="1" ht="27.6" customHeight="1">
      <c r="A14" s="107" t="s">
        <v>684</v>
      </c>
      <c r="B14" s="108">
        <f>'DQE Reconst 3 cls'!F114</f>
        <v>0</v>
      </c>
    </row>
    <row r="15" spans="1:2" s="29" customFormat="1" ht="18.600000000000001" customHeight="1">
      <c r="A15" s="110"/>
      <c r="B15" s="109"/>
    </row>
    <row r="16" spans="1:2" s="29" customFormat="1" ht="27.6" customHeight="1">
      <c r="A16" s="107" t="s">
        <v>673</v>
      </c>
      <c r="B16" s="108">
        <f>'DQE latrine 3 blocs 2 cabines '!F114</f>
        <v>0</v>
      </c>
    </row>
    <row r="17" spans="1:2" s="29" customFormat="1" ht="18.600000000000001" customHeight="1">
      <c r="A17" s="110"/>
      <c r="B17" s="109"/>
    </row>
    <row r="18" spans="1:2" s="29" customFormat="1" ht="18.600000000000001" customHeight="1">
      <c r="A18" s="107" t="s">
        <v>687</v>
      </c>
      <c r="B18" s="108">
        <f>+'DQE Forage à énergie solaire'!G38</f>
        <v>0</v>
      </c>
    </row>
    <row r="19" spans="1:2" s="29" customFormat="1" ht="18.600000000000001" customHeight="1">
      <c r="A19" s="110"/>
      <c r="B19" s="109"/>
    </row>
    <row r="20" spans="1:2" s="29" customFormat="1" ht="27.6" customHeight="1">
      <c r="A20" s="107" t="s">
        <v>585</v>
      </c>
      <c r="B20" s="108">
        <f>' aménagement aire de jeux'!F19</f>
        <v>0</v>
      </c>
    </row>
    <row r="21" spans="1:2" s="29" customFormat="1" ht="18.600000000000001" customHeight="1" thickBot="1">
      <c r="A21" s="110"/>
      <c r="B21" s="109"/>
    </row>
    <row r="22" spans="1:2" s="29" customFormat="1" ht="25.2" customHeight="1" thickBot="1">
      <c r="A22" s="256" t="s">
        <v>355</v>
      </c>
      <c r="B22" s="257">
        <f>B6+B8+B12+B14+B16+B20</f>
        <v>0</v>
      </c>
    </row>
    <row r="23" spans="1:2" s="29" customFormat="1" ht="15.6">
      <c r="A23" s="105"/>
      <c r="B23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REHA 3 cls + bur</vt:lpstr>
      <vt:lpstr>DQE 3 cls + bureau </vt:lpstr>
      <vt:lpstr>DQE Reconst 3 cls</vt:lpstr>
      <vt:lpstr>DQE cantine</vt:lpstr>
      <vt:lpstr>DQE latrine 3 blocs 2 cabines </vt:lpstr>
      <vt:lpstr>DQE Forage à énergie solaire</vt:lpstr>
      <vt:lpstr> aménagement aire de jeux</vt:lpstr>
      <vt:lpstr>Recap</vt:lpstr>
      <vt:lpstr>' aménagement aire de jeux'!Zone_d_impression</vt:lpstr>
      <vt:lpstr>'DQE 3 cls + bureau '!Zone_d_impression</vt:lpstr>
      <vt:lpstr>'DQE cantine'!Zone_d_impression</vt:lpstr>
      <vt:lpstr>'DQE Forage à énergie solaire'!Zone_d_impression</vt:lpstr>
      <vt:lpstr>'DQE latrine 3 blocs 2 cabines '!Zone_d_impression</vt:lpstr>
      <vt:lpstr>'DQE Reconst 3 cls'!Zone_d_impression</vt:lpstr>
      <vt:lpstr>Recap!Zone_d_impression</vt:lpstr>
      <vt:lpstr>'REHA 3 cls + bur'!Zone_d_impression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Lasme Jean Francois Michel ESSO</cp:lastModifiedBy>
  <cp:lastPrinted>2024-12-12T18:39:48Z</cp:lastPrinted>
  <dcterms:created xsi:type="dcterms:W3CDTF">2007-12-03T22:12:12Z</dcterms:created>
  <dcterms:modified xsi:type="dcterms:W3CDTF">2024-12-19T13:49:47Z</dcterms:modified>
</cp:coreProperties>
</file>