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lcocoainitiative-my.sharepoint.com/personal/k_loukou_cocoainitiative_org/Documents/Documents/loukou/ICI/DAO/HSY SCHOOL/2025/DAO VERSION ESSO/"/>
    </mc:Choice>
  </mc:AlternateContent>
  <xr:revisionPtr revIDLastSave="72" documentId="8_{DA274C51-11E9-48C4-B8CE-309829B05F3D}" xr6:coauthVersionLast="47" xr6:coauthVersionMax="47" xr10:uidLastSave="{5ADB66FC-A74F-475A-B8AA-80AD4C20FBCF}"/>
  <bookViews>
    <workbookView xWindow="-110" yWindow="-110" windowWidth="19420" windowHeight="10300" tabRatio="961" activeTab="6" xr2:uid="{00000000-000D-0000-FFFF-FFFF00000000}"/>
  </bookViews>
  <sheets>
    <sheet name="ACHEVMT 3 cls + bureau " sheetId="36" r:id="rId1"/>
    <sheet name="DQE 3 cls" sheetId="50" r:id="rId2"/>
    <sheet name="DQE cantine" sheetId="37" r:id="rId3"/>
    <sheet name="DQE latrine 3 blocs 2 cabines " sheetId="51" r:id="rId4"/>
    <sheet name="DQE Réha PMH" sheetId="52" r:id="rId5"/>
    <sheet name=" aménagement aire de jeux" sheetId="47" r:id="rId6"/>
    <sheet name="Recap" sheetId="39" r:id="rId7"/>
  </sheets>
  <definedNames>
    <definedName name="capinit" localSheetId="1">#REF!</definedName>
    <definedName name="capinit" localSheetId="3">#REF!</definedName>
    <definedName name="capinit">#REF!</definedName>
    <definedName name="Cf">#REF!</definedName>
    <definedName name="cgp">#REF!</definedName>
    <definedName name="coeff_mult">#REF!</definedName>
    <definedName name="dos.BP">#REF!</definedName>
    <definedName name="Dos.CH">#REF!</definedName>
    <definedName name="Dos.dallage">#REF!</definedName>
    <definedName name="Dos.DP">#REF!</definedName>
    <definedName name="Dos.LT">#REF!</definedName>
    <definedName name="Dos.Pot">#REF!</definedName>
    <definedName name="Dos.Pout">#REF!</definedName>
    <definedName name="Dos.Raid">#REF!</definedName>
    <definedName name="DOS.SEMFIL">#REF!</definedName>
    <definedName name="DOS.SEMISOL">#REF!</definedName>
    <definedName name="EI">#REF!</definedName>
    <definedName name="épr.BP">#REF!</definedName>
    <definedName name="épr.dallage">#REF!</definedName>
    <definedName name="épr.enduit">#REF!</definedName>
    <definedName name="Esp.pose">#REF!</definedName>
    <definedName name="EX">#REF!</definedName>
    <definedName name="Haut.CH">#REF!</definedName>
    <definedName name="HC">#REF!</definedName>
    <definedName name="HM">#REF!</definedName>
    <definedName name="Larg.Agg">#REF!</definedName>
    <definedName name="Larg.BP">#REF!</definedName>
    <definedName name="Larg.CH">#REF!</definedName>
    <definedName name="Larg.F">#REF!</definedName>
    <definedName name="LTC">#REF!</definedName>
    <definedName name="LTF">#REF!</definedName>
    <definedName name="LTM">#REF!</definedName>
    <definedName name="LTMP">#REF!</definedName>
    <definedName name="MAC">#REF!</definedName>
    <definedName name="Nbre.plac">#REF!</definedName>
    <definedName name="Nbre.pose">#REF!</definedName>
    <definedName name="Nombre">#REF!</definedName>
    <definedName name="nombremag">#REF!</definedName>
    <definedName name="PF">#REF!</definedName>
    <definedName name="sortes">#REF!</definedName>
    <definedName name="Surf.fen">#REF!</definedName>
    <definedName name="Surf.Loc">#REF!</definedName>
    <definedName name="Surf.plac">#REF!</definedName>
    <definedName name="Surf.plaf">#REF!</definedName>
    <definedName name="Surf.port">#REF!</definedName>
    <definedName name="Surf.vides">#REF!</definedName>
    <definedName name="Surf.VMP">#REF!</definedName>
    <definedName name="Type.Toiture">#REF!</definedName>
    <definedName name="types">#REF!</definedName>
    <definedName name="_xlnm.Print_Area" localSheetId="5">' aménagement aire de jeux'!$A$1:$F$19</definedName>
    <definedName name="_xlnm.Print_Area" localSheetId="0">'ACHEVMT 3 cls + bureau '!$A$1:$F$126</definedName>
    <definedName name="_xlnm.Print_Area" localSheetId="1">'DQE 3 cls'!$A$1:$F$116</definedName>
    <definedName name="_xlnm.Print_Area" localSheetId="2">'DQE cantine'!$A$1:$F$134</definedName>
    <definedName name="_xlnm.Print_Area" localSheetId="3">'DQE latrine 3 blocs 2 cabines '!$A$1:$F$115</definedName>
    <definedName name="_xlnm.Print_Area" localSheetId="6">Recap!$A$1:$B$19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39" l="1"/>
  <c r="F114" i="51"/>
  <c r="F38" i="52"/>
  <c r="F41" i="52"/>
  <c r="F40" i="52" s="1"/>
  <c r="F39" i="52"/>
  <c r="F36" i="52" s="1"/>
  <c r="F35" i="52"/>
  <c r="F34" i="52"/>
  <c r="F33" i="52"/>
  <c r="F31" i="52"/>
  <c r="F29" i="52" s="1"/>
  <c r="F28" i="52"/>
  <c r="F27" i="52" s="1"/>
  <c r="F26" i="52"/>
  <c r="F25" i="52" s="1"/>
  <c r="F24" i="52"/>
  <c r="F23" i="52" s="1"/>
  <c r="F22" i="52"/>
  <c r="F21" i="52" s="1"/>
  <c r="F20" i="52"/>
  <c r="F19" i="52" s="1"/>
  <c r="F18" i="52"/>
  <c r="F17" i="52"/>
  <c r="F15" i="52"/>
  <c r="F13" i="52"/>
  <c r="F11" i="52"/>
  <c r="F10" i="52"/>
  <c r="F7" i="52"/>
  <c r="F6" i="52" s="1"/>
  <c r="F32" i="52" l="1"/>
  <c r="F16" i="52"/>
  <c r="F12" i="52"/>
  <c r="F8" i="52"/>
  <c r="F43" i="52" s="1"/>
  <c r="B14" i="39" l="1"/>
  <c r="F45" i="52" l="1"/>
  <c r="F47" i="52" s="1"/>
  <c r="B8" i="39" l="1"/>
  <c r="B6" i="39"/>
  <c r="D78" i="36"/>
  <c r="D74" i="36"/>
  <c r="D67" i="36"/>
  <c r="D30" i="36"/>
  <c r="D29" i="36"/>
  <c r="D28" i="36"/>
  <c r="D22" i="36"/>
  <c r="F11" i="50"/>
  <c r="D9" i="51" l="1"/>
  <c r="F9" i="51"/>
  <c r="F11" i="51" s="1"/>
  <c r="F13" i="51" s="1"/>
  <c r="F10" i="51"/>
  <c r="D19" i="51"/>
  <c r="F19" i="51"/>
  <c r="D21" i="51"/>
  <c r="F21" i="51"/>
  <c r="D22" i="51"/>
  <c r="F22" i="51"/>
  <c r="D23" i="51"/>
  <c r="F23" i="51"/>
  <c r="D24" i="51"/>
  <c r="F24" i="51"/>
  <c r="D26" i="51"/>
  <c r="F26" i="51" s="1"/>
  <c r="D29" i="51"/>
  <c r="F29" i="51"/>
  <c r="D30" i="51"/>
  <c r="F30" i="51"/>
  <c r="D31" i="51"/>
  <c r="F31" i="51"/>
  <c r="D32" i="51"/>
  <c r="F32" i="51"/>
  <c r="D34" i="51"/>
  <c r="F34" i="51" s="1"/>
  <c r="D36" i="51"/>
  <c r="F36" i="51"/>
  <c r="D37" i="51"/>
  <c r="F37" i="51"/>
  <c r="D38" i="51"/>
  <c r="F38" i="51"/>
  <c r="D40" i="51"/>
  <c r="D42" i="51" s="1"/>
  <c r="F42" i="51" s="1"/>
  <c r="F40" i="51"/>
  <c r="D41" i="51"/>
  <c r="F41" i="51"/>
  <c r="D45" i="51"/>
  <c r="F45" i="51"/>
  <c r="F48" i="51"/>
  <c r="F50" i="51"/>
  <c r="F56" i="51"/>
  <c r="F57" i="51"/>
  <c r="F60" i="51"/>
  <c r="F61" i="51" s="1"/>
  <c r="D66" i="51"/>
  <c r="F66" i="51"/>
  <c r="D68" i="51"/>
  <c r="F68" i="51"/>
  <c r="F70" i="51"/>
  <c r="F71" i="51"/>
  <c r="F75" i="51"/>
  <c r="F76" i="51"/>
  <c r="F81" i="51"/>
  <c r="F82" i="51"/>
  <c r="F87" i="51"/>
  <c r="F88" i="51"/>
  <c r="F89" i="51"/>
  <c r="F90" i="51"/>
  <c r="D94" i="51"/>
  <c r="F94" i="51"/>
  <c r="F95" i="51"/>
  <c r="F96" i="51"/>
  <c r="F100" i="51"/>
  <c r="F106" i="51" s="1"/>
  <c r="D101" i="51"/>
  <c r="F101" i="51"/>
  <c r="D103" i="51"/>
  <c r="F103" i="51" s="1"/>
  <c r="D105" i="51"/>
  <c r="F105" i="51" s="1"/>
  <c r="F12" i="50"/>
  <c r="F15" i="50" s="1"/>
  <c r="F13" i="50"/>
  <c r="F14" i="50"/>
  <c r="D20" i="50"/>
  <c r="D28" i="50" s="1"/>
  <c r="F28" i="50" s="1"/>
  <c r="D21" i="50"/>
  <c r="F21" i="50" s="1"/>
  <c r="D22" i="50"/>
  <c r="F22" i="50" s="1"/>
  <c r="D23" i="50"/>
  <c r="F23" i="50" s="1"/>
  <c r="D29" i="50"/>
  <c r="F29" i="50"/>
  <c r="D32" i="50"/>
  <c r="F32" i="50"/>
  <c r="D33" i="50"/>
  <c r="F33" i="50"/>
  <c r="D35" i="50"/>
  <c r="F35" i="50"/>
  <c r="D36" i="50"/>
  <c r="F36" i="50"/>
  <c r="D37" i="50"/>
  <c r="F37" i="50"/>
  <c r="D39" i="50"/>
  <c r="F39" i="50"/>
  <c r="D40" i="50"/>
  <c r="F40" i="50"/>
  <c r="D42" i="50"/>
  <c r="F42" i="50"/>
  <c r="D47" i="50"/>
  <c r="D44" i="50" s="1"/>
  <c r="F47" i="50"/>
  <c r="F49" i="50"/>
  <c r="F50" i="50"/>
  <c r="F51" i="50"/>
  <c r="D53" i="50"/>
  <c r="F53" i="50" s="1"/>
  <c r="D54" i="50"/>
  <c r="F54" i="50"/>
  <c r="D55" i="50"/>
  <c r="F55" i="50"/>
  <c r="D56" i="50"/>
  <c r="F56" i="50" s="1"/>
  <c r="D57" i="50"/>
  <c r="F57" i="50"/>
  <c r="D58" i="50"/>
  <c r="F58" i="50"/>
  <c r="F60" i="50"/>
  <c r="F61" i="50"/>
  <c r="D68" i="50"/>
  <c r="F68" i="50"/>
  <c r="F69" i="50"/>
  <c r="D75" i="50"/>
  <c r="F75" i="50"/>
  <c r="F80" i="50" s="1"/>
  <c r="F77" i="50"/>
  <c r="D79" i="50"/>
  <c r="F79" i="50"/>
  <c r="F85" i="50"/>
  <c r="F86" i="50"/>
  <c r="F91" i="50"/>
  <c r="F92" i="50"/>
  <c r="F94" i="50"/>
  <c r="D100" i="50"/>
  <c r="F100" i="50"/>
  <c r="D101" i="50"/>
  <c r="F101" i="50" s="1"/>
  <c r="D103" i="50"/>
  <c r="F103" i="50"/>
  <c r="D105" i="50"/>
  <c r="F105" i="50"/>
  <c r="D107" i="50"/>
  <c r="F107" i="50"/>
  <c r="D108" i="50"/>
  <c r="F108" i="50" s="1"/>
  <c r="F70" i="50" l="1"/>
  <c r="D27" i="50"/>
  <c r="F27" i="50" s="1"/>
  <c r="F109" i="50"/>
  <c r="D31" i="50"/>
  <c r="F31" i="50" s="1"/>
  <c r="D30" i="50"/>
  <c r="D41" i="50" s="1"/>
  <c r="F41" i="50" s="1"/>
  <c r="F95" i="50"/>
  <c r="D44" i="51"/>
  <c r="F44" i="51" s="1"/>
  <c r="D27" i="51"/>
  <c r="F27" i="51" s="1"/>
  <c r="F51" i="51" s="1"/>
  <c r="F53" i="51" s="1"/>
  <c r="F108" i="51" s="1"/>
  <c r="F44" i="50"/>
  <c r="D45" i="50"/>
  <c r="F45" i="50" s="1"/>
  <c r="F24" i="50"/>
  <c r="F30" i="50"/>
  <c r="F62" i="50" l="1"/>
  <c r="F63" i="50" s="1"/>
  <c r="F111" i="50" s="1"/>
  <c r="F113" i="50" s="1"/>
  <c r="F115" i="50" s="1"/>
  <c r="F110" i="51"/>
  <c r="B16" i="39" l="1"/>
  <c r="D10" i="47"/>
  <c r="F10" i="47" s="1"/>
  <c r="F11" i="47"/>
  <c r="D13" i="47"/>
  <c r="F12" i="47"/>
  <c r="F13" i="47"/>
  <c r="F15" i="47" l="1"/>
  <c r="F19" i="47" s="1"/>
  <c r="F105" i="36" l="1"/>
  <c r="F104" i="36"/>
  <c r="D104" i="36"/>
  <c r="D102" i="36"/>
  <c r="F102" i="36" s="1"/>
  <c r="F101" i="36"/>
  <c r="F95" i="36" l="1"/>
  <c r="F93" i="36"/>
  <c r="F91" i="36"/>
  <c r="F90" i="36"/>
  <c r="F96" i="36" l="1"/>
  <c r="D36" i="37" l="1"/>
  <c r="D35" i="37"/>
  <c r="F35" i="37" s="1"/>
  <c r="D127" i="37" l="1"/>
  <c r="F127" i="37" s="1"/>
  <c r="D124" i="37"/>
  <c r="F124" i="37" s="1"/>
  <c r="D122" i="37"/>
  <c r="F122" i="37" s="1"/>
  <c r="D121" i="37"/>
  <c r="F121" i="37" s="1"/>
  <c r="F116" i="37"/>
  <c r="F115" i="37"/>
  <c r="F110" i="37"/>
  <c r="F108" i="37"/>
  <c r="F107" i="37"/>
  <c r="D100" i="37"/>
  <c r="F100" i="37" s="1"/>
  <c r="D99" i="37"/>
  <c r="D125" i="37" s="1"/>
  <c r="F125" i="37" s="1"/>
  <c r="F95" i="37"/>
  <c r="F96" i="37" s="1"/>
  <c r="D90" i="37"/>
  <c r="F90" i="37" s="1"/>
  <c r="F88" i="37"/>
  <c r="D86" i="37"/>
  <c r="F86" i="37" s="1"/>
  <c r="F80" i="37"/>
  <c r="F81" i="37" s="1"/>
  <c r="D80" i="37"/>
  <c r="F63" i="37"/>
  <c r="F61" i="37"/>
  <c r="F59" i="37"/>
  <c r="F56" i="37"/>
  <c r="F55" i="37"/>
  <c r="D50" i="37"/>
  <c r="F50" i="37" s="1"/>
  <c r="D49" i="37"/>
  <c r="D51" i="37" s="1"/>
  <c r="F51" i="37" s="1"/>
  <c r="F43" i="37"/>
  <c r="D41" i="37"/>
  <c r="D42" i="37" s="1"/>
  <c r="F42" i="37" s="1"/>
  <c r="D39" i="37"/>
  <c r="D54" i="37" s="1"/>
  <c r="F54" i="37" s="1"/>
  <c r="F36" i="37"/>
  <c r="D33" i="37"/>
  <c r="F33" i="37" s="1"/>
  <c r="D30" i="37"/>
  <c r="D45" i="37" s="1"/>
  <c r="D26" i="37"/>
  <c r="D27" i="37" s="1"/>
  <c r="F27" i="37" s="1"/>
  <c r="D23" i="37"/>
  <c r="D24" i="37" s="1"/>
  <c r="F24" i="37" s="1"/>
  <c r="D17" i="37"/>
  <c r="F17" i="37" s="1"/>
  <c r="D16" i="37"/>
  <c r="F16" i="37" s="1"/>
  <c r="D15" i="37"/>
  <c r="F15" i="37" s="1"/>
  <c r="F18" i="37" s="1"/>
  <c r="F10" i="37"/>
  <c r="F9" i="37"/>
  <c r="F8" i="37"/>
  <c r="D118" i="36"/>
  <c r="F118" i="36" s="1"/>
  <c r="D117" i="36"/>
  <c r="F117" i="36" s="1"/>
  <c r="D115" i="36"/>
  <c r="F115" i="36" s="1"/>
  <c r="D113" i="36"/>
  <c r="F113" i="36" s="1"/>
  <c r="D111" i="36"/>
  <c r="F111" i="36" s="1"/>
  <c r="D110" i="36"/>
  <c r="F110" i="36" s="1"/>
  <c r="F84" i="36"/>
  <c r="F85" i="36" s="1"/>
  <c r="F78" i="36"/>
  <c r="F76" i="36"/>
  <c r="F74" i="36"/>
  <c r="F68" i="36"/>
  <c r="F67" i="36"/>
  <c r="F60" i="36"/>
  <c r="F59" i="36"/>
  <c r="D56" i="36"/>
  <c r="D57" i="36" s="1"/>
  <c r="F57" i="36" s="1"/>
  <c r="D55" i="36"/>
  <c r="F55" i="36" s="1"/>
  <c r="D54" i="36"/>
  <c r="F54" i="36" s="1"/>
  <c r="D53" i="36"/>
  <c r="F53" i="36" s="1"/>
  <c r="D52" i="36"/>
  <c r="F52" i="36" s="1"/>
  <c r="F50" i="36"/>
  <c r="F49" i="36"/>
  <c r="F48" i="36"/>
  <c r="D46" i="36"/>
  <c r="F46" i="36" s="1"/>
  <c r="F41" i="36"/>
  <c r="F39" i="36"/>
  <c r="F38" i="36"/>
  <c r="D36" i="36"/>
  <c r="F36" i="36" s="1"/>
  <c r="D35" i="36"/>
  <c r="F35" i="36" s="1"/>
  <c r="D34" i="36"/>
  <c r="F34" i="36" s="1"/>
  <c r="D32" i="36"/>
  <c r="F32" i="36" s="1"/>
  <c r="D31" i="36"/>
  <c r="F31" i="36" s="1"/>
  <c r="F30" i="36"/>
  <c r="F40" i="36"/>
  <c r="F28" i="36"/>
  <c r="D27" i="36"/>
  <c r="F27" i="36" s="1"/>
  <c r="D26" i="36"/>
  <c r="F26" i="36" s="1"/>
  <c r="F22" i="36"/>
  <c r="D21" i="36"/>
  <c r="F21" i="36" s="1"/>
  <c r="D20" i="36"/>
  <c r="F20" i="36" s="1"/>
  <c r="F13" i="36"/>
  <c r="F12" i="36"/>
  <c r="F11" i="36"/>
  <c r="F14" i="36" l="1"/>
  <c r="F79" i="36"/>
  <c r="F69" i="36"/>
  <c r="F23" i="36"/>
  <c r="F119" i="36"/>
  <c r="F111" i="37"/>
  <c r="D31" i="37"/>
  <c r="F31" i="37" s="1"/>
  <c r="F49" i="37"/>
  <c r="F117" i="37"/>
  <c r="F23" i="37"/>
  <c r="F11" i="37"/>
  <c r="F99" i="37"/>
  <c r="F102" i="37" s="1"/>
  <c r="D43" i="36"/>
  <c r="D44" i="36" s="1"/>
  <c r="F44" i="36" s="1"/>
  <c r="F56" i="36"/>
  <c r="D47" i="37"/>
  <c r="F47" i="37" s="1"/>
  <c r="F45" i="37"/>
  <c r="D46" i="37"/>
  <c r="F46" i="37" s="1"/>
  <c r="F128" i="37"/>
  <c r="F91" i="37"/>
  <c r="F26" i="37"/>
  <c r="F39" i="37"/>
  <c r="F29" i="36"/>
  <c r="F41" i="37"/>
  <c r="D32" i="37"/>
  <c r="F32" i="37" s="1"/>
  <c r="D28" i="37"/>
  <c r="F28" i="37" s="1"/>
  <c r="F30" i="37"/>
  <c r="F43" i="36" l="1"/>
  <c r="F61" i="36" s="1"/>
  <c r="F62" i="36" s="1"/>
  <c r="F121" i="36" s="1"/>
  <c r="F74" i="37"/>
  <c r="F76" i="37" s="1"/>
  <c r="F130" i="37" s="1"/>
  <c r="F123" i="36" l="1"/>
  <c r="F132" i="37"/>
  <c r="E134" i="37" s="1"/>
  <c r="B10" i="39" s="1"/>
  <c r="B18" i="39" s="1"/>
  <c r="F125" i="36" l="1"/>
</calcChain>
</file>

<file path=xl/sharedStrings.xml><?xml version="1.0" encoding="utf-8"?>
<sst xmlns="http://schemas.openxmlformats.org/spreadsheetml/2006/main" count="1025" uniqueCount="505">
  <si>
    <t>Unité</t>
  </si>
  <si>
    <t>Montant du marché</t>
  </si>
  <si>
    <t>Quantité du marché</t>
  </si>
  <si>
    <t>Prix unitaire du marché</t>
  </si>
  <si>
    <t>m²</t>
  </si>
  <si>
    <t>1.2</t>
  </si>
  <si>
    <t>2.3</t>
  </si>
  <si>
    <t>ml</t>
  </si>
  <si>
    <t xml:space="preserve">Désignation des Travaux </t>
  </si>
  <si>
    <t>u</t>
  </si>
  <si>
    <t>m3</t>
  </si>
  <si>
    <t>PEINTURE</t>
  </si>
  <si>
    <t>N° d'ordre</t>
  </si>
  <si>
    <t>LOT 1</t>
  </si>
  <si>
    <t>LOT 2</t>
  </si>
  <si>
    <t>GROS-ŒUVRE</t>
  </si>
  <si>
    <t>2.2.</t>
  </si>
  <si>
    <t>2.2.1</t>
  </si>
  <si>
    <t>LOT 3</t>
  </si>
  <si>
    <t>FONDATION</t>
  </si>
  <si>
    <t xml:space="preserve">         * Béton</t>
  </si>
  <si>
    <t xml:space="preserve">         * Coffrage 12 m2/m3</t>
  </si>
  <si>
    <t xml:space="preserve">         * Aciers Tors HA 80 kg/m3</t>
  </si>
  <si>
    <t>kg</t>
  </si>
  <si>
    <t>2.2.2</t>
  </si>
  <si>
    <t>ELEVATION</t>
  </si>
  <si>
    <t>2.2.2.1</t>
  </si>
  <si>
    <t>2.2.2.5</t>
  </si>
  <si>
    <t>2.2.2.7</t>
  </si>
  <si>
    <t>2.2.2.8</t>
  </si>
  <si>
    <t>2.3.1</t>
  </si>
  <si>
    <t>2.3.2</t>
  </si>
  <si>
    <t>2.3.2.5</t>
  </si>
  <si>
    <t xml:space="preserve"> ENDUITS</t>
  </si>
  <si>
    <t>OUVRAGES DIVERS</t>
  </si>
  <si>
    <t>Marches d'escalier</t>
  </si>
  <si>
    <t xml:space="preserve">Rampe </t>
  </si>
  <si>
    <t>Sous-total Maçonnerie béton armé</t>
  </si>
  <si>
    <t>TOTAL GROS-ŒUVRES</t>
  </si>
  <si>
    <t>CHARPENTE</t>
  </si>
  <si>
    <t>TOTAL CHARPENTE</t>
  </si>
  <si>
    <t>LOT 4</t>
  </si>
  <si>
    <t>COUVERTURE</t>
  </si>
  <si>
    <t>GENERALITES</t>
  </si>
  <si>
    <t xml:space="preserve">Couverture </t>
  </si>
  <si>
    <t>Bardage</t>
  </si>
  <si>
    <t>TOTAL COUVERTURE</t>
  </si>
  <si>
    <t>LOT 5</t>
  </si>
  <si>
    <t>ETANCHEITE</t>
  </si>
  <si>
    <t>5.1</t>
  </si>
  <si>
    <t>5.1.1</t>
  </si>
  <si>
    <t>Etanchéité des couvertures tôle</t>
  </si>
  <si>
    <t>TOTAL ETANCHEITE</t>
  </si>
  <si>
    <t>LOT 6</t>
  </si>
  <si>
    <t>LOT 8</t>
  </si>
  <si>
    <t>SERRURERIE</t>
  </si>
  <si>
    <t>TOTAL SERRURERIE</t>
  </si>
  <si>
    <t>Peinture glycero sur ouvrages metalliques</t>
  </si>
  <si>
    <t>TOTAL PEINTURE</t>
  </si>
  <si>
    <t xml:space="preserve"> - Vinyl sur murs extérieurs  et claustras 2 couches</t>
  </si>
  <si>
    <t xml:space="preserve"> - Vinyl sur murs intérieurs  et claustras 2 couches</t>
  </si>
  <si>
    <t xml:space="preserve">         * Aciers Tors HA 70 kg/m3</t>
  </si>
  <si>
    <t xml:space="preserve"> Peinture extérieure</t>
  </si>
  <si>
    <t xml:space="preserve"> Peinture intérieure</t>
  </si>
  <si>
    <t>Rampe d'accès</t>
  </si>
  <si>
    <t>REVETMENT DUR</t>
  </si>
  <si>
    <t>sol et faîence</t>
  </si>
  <si>
    <t xml:space="preserve">TOTAL REVETEMENT </t>
  </si>
  <si>
    <t>1.1</t>
  </si>
  <si>
    <t>1.3</t>
  </si>
  <si>
    <t>DESIGNATION</t>
  </si>
  <si>
    <t>CHARPENTE BOIS</t>
  </si>
  <si>
    <t>LOT 7</t>
  </si>
  <si>
    <t>LOT 9</t>
  </si>
  <si>
    <t>LOT 10</t>
  </si>
  <si>
    <t>U</t>
  </si>
  <si>
    <t>QTE</t>
  </si>
  <si>
    <t>PRIX UNITAIRE</t>
  </si>
  <si>
    <t>P. TOTAL</t>
  </si>
  <si>
    <t>2.1</t>
  </si>
  <si>
    <t xml:space="preserve"> TERRASSEMENTS PARTICULIERS</t>
  </si>
  <si>
    <t>2.1.1.</t>
  </si>
  <si>
    <t>2.1.2.</t>
  </si>
  <si>
    <t xml:space="preserve"> - Remblai des fouilles</t>
  </si>
  <si>
    <t>2.1.3.</t>
  </si>
  <si>
    <t xml:space="preserve"> - Remblai  sous dallage </t>
  </si>
  <si>
    <t>2.2.1.1</t>
  </si>
  <si>
    <t xml:space="preserve"> - Béton de propreté EP = 0,05 dosé à 150 kg/m3</t>
  </si>
  <si>
    <t>2.2.1.2</t>
  </si>
  <si>
    <t>2.2.1.3</t>
  </si>
  <si>
    <t>2.2.1.4</t>
  </si>
  <si>
    <t>2.2.1.5</t>
  </si>
  <si>
    <t>2.2.1.6</t>
  </si>
  <si>
    <t xml:space="preserve">         * Film polyane sous dallage</t>
  </si>
  <si>
    <t>2.2.1.7</t>
  </si>
  <si>
    <t xml:space="preserve"> - Drain en briques </t>
  </si>
  <si>
    <t xml:space="preserve">         * Gravier roulé séléctionné ép=20 cm</t>
  </si>
  <si>
    <t xml:space="preserve">         * Sable ép=10 cm</t>
  </si>
  <si>
    <t xml:space="preserve"> - Raidisseur et poteaux en béton armé dosé à 350 kg/m3</t>
  </si>
  <si>
    <t xml:space="preserve"> - Chaînage haut et linteaux dosés à 350 kg/m3</t>
  </si>
  <si>
    <t xml:space="preserve">         * Coffrage 2 m2/m3</t>
  </si>
  <si>
    <t>2.2.2.6</t>
  </si>
  <si>
    <t xml:space="preserve"> - Couronnement des murs et pignons </t>
  </si>
  <si>
    <t xml:space="preserve">CLAUSTRAS </t>
  </si>
  <si>
    <r>
      <t>m</t>
    </r>
    <r>
      <rPr>
        <vertAlign val="superscript"/>
        <sz val="12"/>
        <rFont val="Calibri"/>
        <family val="2"/>
      </rPr>
      <t>2</t>
    </r>
  </si>
  <si>
    <t xml:space="preserve"> - Fouilles en rigole </t>
  </si>
  <si>
    <t xml:space="preserve"> - Agglos pleins de 15 d'épaisseur</t>
  </si>
  <si>
    <t xml:space="preserve"> - Remblai  sous dalle de la rampe</t>
  </si>
  <si>
    <t>2.3.3</t>
  </si>
  <si>
    <t>2.3.3.1</t>
  </si>
  <si>
    <t>2.3.3.2</t>
  </si>
  <si>
    <t>2.3.3.3</t>
  </si>
  <si>
    <t>2.3.4</t>
  </si>
  <si>
    <t>2.3.4.2</t>
  </si>
  <si>
    <t>Tableau en ciment</t>
  </si>
  <si>
    <t>SOUS/TOTAL  maçonnerie et béton armé</t>
  </si>
  <si>
    <t>3.1</t>
  </si>
  <si>
    <t>CHARPENTE BOIS  ASSEMBLE ET TRAITE</t>
  </si>
  <si>
    <t>3.1.1</t>
  </si>
  <si>
    <t>3.1.2</t>
  </si>
  <si>
    <t>Charpente en bois assamblée et traitée</t>
  </si>
  <si>
    <t>3.1.3</t>
  </si>
  <si>
    <t>Ferrure métallique de fixation des fermes</t>
  </si>
  <si>
    <t>4.1</t>
  </si>
  <si>
    <t>4.1.1</t>
  </si>
  <si>
    <t>4.1.2</t>
  </si>
  <si>
    <t>Faitiere crantée.</t>
  </si>
  <si>
    <t>4.1.2.1</t>
  </si>
  <si>
    <t>4.1.3</t>
  </si>
  <si>
    <t>4.1.3.1</t>
  </si>
  <si>
    <t>Bardage en tôle</t>
  </si>
  <si>
    <t xml:space="preserve">ens </t>
  </si>
  <si>
    <t>7.1</t>
  </si>
  <si>
    <t>7.2</t>
  </si>
  <si>
    <t xml:space="preserve">Portes metalliques tolées sur 1 faces </t>
  </si>
  <si>
    <t>Portes metalliques tolées sur 1 faces pour placards</t>
  </si>
  <si>
    <t>10.1</t>
  </si>
  <si>
    <r>
      <t xml:space="preserve"> Peinture ext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</si>
  <si>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soubassement et parties courantes</t>
    </r>
  </si>
  <si>
    <r>
      <t xml:space="preserve"> Peinture int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</si>
  <si>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t>Peinture glycero sur ouvrages bois et  metalliques</t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</si>
  <si>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menuiserie bois, portes metalliques et grilles anti vol</t>
    </r>
  </si>
  <si>
    <t>Ardoisine en 2 couches sur tableau en ciment</t>
  </si>
  <si>
    <t>Claustras de 22 x 22x20, type BAD (dimension 250 cm x 110 cm) 3 par salle</t>
  </si>
  <si>
    <t>9.1</t>
  </si>
  <si>
    <t>4.1.1.1</t>
  </si>
  <si>
    <t xml:space="preserve"> TRAVAUX PRELIMINAIRES</t>
  </si>
  <si>
    <t xml:space="preserve">LOT 1 </t>
  </si>
  <si>
    <t>GROS OEUVRES</t>
  </si>
  <si>
    <t xml:space="preserve">ELEVATION </t>
  </si>
  <si>
    <t>2.2.2.3</t>
  </si>
  <si>
    <t>2.3.3.4</t>
  </si>
  <si>
    <t>Construction d'escaliers existants</t>
  </si>
  <si>
    <t xml:space="preserve"> TOTAL Gros Oeuvres</t>
  </si>
  <si>
    <t>TOTAL Charpente Bois</t>
  </si>
  <si>
    <t>TOTAL Travaux Preliminaires</t>
  </si>
  <si>
    <t>TOTAL  des Terrassements</t>
  </si>
  <si>
    <t>TOTAL Couverture</t>
  </si>
  <si>
    <r>
      <t>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</si>
  <si>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TOTAL Serrurerie</t>
  </si>
  <si>
    <t>TOTAL Peinture</t>
  </si>
  <si>
    <t>Couverture en tole bac aluzinc</t>
  </si>
  <si>
    <t>Etanchéité Toiture sur les têtes des tire-fonds</t>
  </si>
  <si>
    <t>7.1.1</t>
  </si>
  <si>
    <t>7.2.1</t>
  </si>
  <si>
    <t>9.1.1</t>
  </si>
  <si>
    <t>10.1.1</t>
  </si>
  <si>
    <t>10.1.2</t>
  </si>
  <si>
    <t>10.2</t>
  </si>
  <si>
    <t>10.2.1</t>
  </si>
  <si>
    <t>10.4</t>
  </si>
  <si>
    <t>10.4.1</t>
  </si>
  <si>
    <t xml:space="preserve">FONDATION </t>
  </si>
  <si>
    <t xml:space="preserve"> MACONNERIE </t>
  </si>
  <si>
    <t xml:space="preserve">Implantation des bâtiments </t>
  </si>
  <si>
    <t>Installation de chantier</t>
  </si>
  <si>
    <t>forfait</t>
  </si>
  <si>
    <t xml:space="preserve">         * Enduits ext. dosés à 250 kg/m3 sur maçonnerie</t>
  </si>
  <si>
    <t xml:space="preserve"> - Béton armé pour semelle filante dosé à 350 kg/m3</t>
  </si>
  <si>
    <t xml:space="preserve">         * Enduits int. dosés à 250 kg/m3 sur maçonnerie</t>
  </si>
  <si>
    <t xml:space="preserve"> - Agglos pleins de 15 cm en brique classique</t>
  </si>
  <si>
    <t>TRAVAUX PRELIMINAIRES</t>
  </si>
  <si>
    <t>ff</t>
  </si>
  <si>
    <t>TOTAL TRAVAUX PRELIMINAIRES</t>
  </si>
  <si>
    <t>TERRASSEMENTS PARTICULIERS</t>
  </si>
  <si>
    <t>Remblai provenant des fouilles</t>
  </si>
  <si>
    <t xml:space="preserve">Remblai  sous dallage </t>
  </si>
  <si>
    <t>Sous-total Terrassement particuliers</t>
  </si>
  <si>
    <t>MACONNERIE BETON ARME</t>
  </si>
  <si>
    <t>Semelle filante EP = 20 cm dosé à 200 kg/m3</t>
  </si>
  <si>
    <t>2.2.1.2.1</t>
  </si>
  <si>
    <t>2.2.1.3.2</t>
  </si>
  <si>
    <t>Amorce des poteaux en BA dosé à 3000 kg/m3</t>
  </si>
  <si>
    <t>2.2.1.3.1</t>
  </si>
  <si>
    <t>2.2.1.3.3</t>
  </si>
  <si>
    <t>Chaînage bas en B.A dosé à 300 kg/m3</t>
  </si>
  <si>
    <t>2.2.1.4.1</t>
  </si>
  <si>
    <t>2.2.1.4.2</t>
  </si>
  <si>
    <t>2.2.1.4.3</t>
  </si>
  <si>
    <t>Agglos pleins de 15</t>
  </si>
  <si>
    <t>Dallage au sol en béton armé dosé à 300 kg/m3</t>
  </si>
  <si>
    <t>2.2.1.6.1</t>
  </si>
  <si>
    <t>Agglos 15 creux</t>
  </si>
  <si>
    <t>Poteaux et raidisseurs en béton armé dosé à 350 kg/m3</t>
  </si>
  <si>
    <t>2.2.2.3.1</t>
  </si>
  <si>
    <t>2.2.2.3.2</t>
  </si>
  <si>
    <t>2.2.2.3.3</t>
  </si>
  <si>
    <t xml:space="preserve">         * Coffrage 12 kg/m3</t>
  </si>
  <si>
    <t>Chaînage haut et linteaux dosés à 350 kg/m3</t>
  </si>
  <si>
    <t>2.2.2.5.1</t>
  </si>
  <si>
    <t>2.2.2.5.2</t>
  </si>
  <si>
    <t>2.2.2.5.3</t>
  </si>
  <si>
    <t>Console en BA dosé à 350 kg/m3</t>
  </si>
  <si>
    <t>2.2.2.8.1</t>
  </si>
  <si>
    <t>2.2.2.8.2</t>
  </si>
  <si>
    <t>2.2.2.8.3</t>
  </si>
  <si>
    <t>2.2.2.9</t>
  </si>
  <si>
    <t>2.2.2.9.1</t>
  </si>
  <si>
    <t xml:space="preserve"> * Enduits dosés à 250 kg/m3 </t>
  </si>
  <si>
    <t>2.2.2.10</t>
  </si>
  <si>
    <t xml:space="preserve">Chape incorporée et bouchardée  dosé à 300 kg/m3 </t>
  </si>
  <si>
    <t>2.2.2.11</t>
  </si>
  <si>
    <t>Claustras de 22 x 22x20, type projet BAD</t>
  </si>
  <si>
    <t>2.3.1.4</t>
  </si>
  <si>
    <t xml:space="preserve"> placard en maçonnerie </t>
  </si>
  <si>
    <t xml:space="preserve">         * placard en maçonnerie de 60 x 150 x 100 cm</t>
  </si>
  <si>
    <t>2.3.5</t>
  </si>
  <si>
    <t>Estrade</t>
  </si>
  <si>
    <t>2.3.5.1</t>
  </si>
  <si>
    <t xml:space="preserve">Fouilles en rigole </t>
  </si>
  <si>
    <t>2.3.5.2</t>
  </si>
  <si>
    <t>Remblai  sous l'estrade</t>
  </si>
  <si>
    <t>2.3.5.3</t>
  </si>
  <si>
    <t>Béton de propreté EP = 0,05 dosé à 150 kg/m3</t>
  </si>
  <si>
    <t>2.3.5.4</t>
  </si>
  <si>
    <t>Agglos pleins de 15 d'épaisseur</t>
  </si>
  <si>
    <t>2.3.5.5</t>
  </si>
  <si>
    <t>Dallage de l'estrade en béton armé dosé à 350 kg/m3</t>
  </si>
  <si>
    <t>2.3.5.5.1</t>
  </si>
  <si>
    <t>2.3.5.5.2</t>
  </si>
  <si>
    <t xml:space="preserve">         * Armature en treilli de fer diam.6</t>
  </si>
  <si>
    <t>2.3.5.5.3</t>
  </si>
  <si>
    <t>2.3.5.6</t>
  </si>
  <si>
    <t>Enduits sur l'estrade</t>
  </si>
  <si>
    <t>Charpente</t>
  </si>
  <si>
    <t xml:space="preserve">Faitiere prefabriquée </t>
  </si>
  <si>
    <t>5.1.3</t>
  </si>
  <si>
    <t>5.1.3.1</t>
  </si>
  <si>
    <t>Bardage en tôle bac colorée h=30 cm</t>
  </si>
  <si>
    <t>Etanchéité sur les têtes de pointe</t>
  </si>
  <si>
    <t>FAUX PLAFOND EN CP 8 mm</t>
  </si>
  <si>
    <t>Faux plafond en contre- plaqué de 8 mm, dans les magasins</t>
  </si>
  <si>
    <t>Pose de baguettes</t>
  </si>
  <si>
    <t>TOTAL FAUX PLAFOND EN CP 8mm</t>
  </si>
  <si>
    <t xml:space="preserve">Portes metalliques </t>
  </si>
  <si>
    <t>Porte métallique</t>
  </si>
  <si>
    <t>7.1.1.1</t>
  </si>
  <si>
    <t xml:space="preserve">  * 100 x 100 </t>
  </si>
  <si>
    <t>7.1.1.2</t>
  </si>
  <si>
    <t xml:space="preserve">  * 90 x 210</t>
  </si>
  <si>
    <t>Fenêtre</t>
  </si>
  <si>
    <t>Fenêtre métallique de deux battants</t>
  </si>
  <si>
    <t>8.1.3</t>
  </si>
  <si>
    <t>8.1.3.1</t>
  </si>
  <si>
    <t>Grès cerame 15x15 cm pour placard et console</t>
  </si>
  <si>
    <t>8.1.3.2</t>
  </si>
  <si>
    <t>faîence h=1 m</t>
  </si>
  <si>
    <t xml:space="preserve">Vinyl sur murs extérieurs  </t>
  </si>
  <si>
    <t>9.1.2</t>
  </si>
  <si>
    <t>Peinture glycérophtalique sur soubassement et parties courantes</t>
  </si>
  <si>
    <t>9.2</t>
  </si>
  <si>
    <t>9.2.1</t>
  </si>
  <si>
    <t>Vinyl sur murs intérieurs 2 couches</t>
  </si>
  <si>
    <t>9.2.2</t>
  </si>
  <si>
    <t xml:space="preserve">Vinyl faux plafond et séparateur de placard en c/p, 2 couches </t>
  </si>
  <si>
    <t>9.3</t>
  </si>
  <si>
    <t>9.3.1</t>
  </si>
  <si>
    <t xml:space="preserve">Peinture glycérophtalique sur portes et fenêtres metalliques </t>
  </si>
  <si>
    <t>Total Cantine</t>
  </si>
  <si>
    <t>MONTANT TOTAL DU MARCHE</t>
  </si>
  <si>
    <t>CONSTRUCTION DE CANTINE</t>
  </si>
  <si>
    <r>
      <t>m</t>
    </r>
    <r>
      <rPr>
        <vertAlign val="superscript"/>
        <sz val="11"/>
        <rFont val="Calibri"/>
        <family val="2"/>
        <scheme val="minor"/>
      </rPr>
      <t>3</t>
    </r>
  </si>
  <si>
    <r>
      <t>m</t>
    </r>
    <r>
      <rPr>
        <vertAlign val="superscript"/>
        <sz val="11"/>
        <rFont val="Calibri"/>
        <family val="2"/>
        <scheme val="minor"/>
      </rPr>
      <t>2</t>
    </r>
  </si>
  <si>
    <t>2.3.4.3</t>
  </si>
  <si>
    <t>- Tableau synoptique de 3,00 x 140 pour classes et bureau</t>
  </si>
  <si>
    <t>TOTAL 3 CLASSES + BUREAU</t>
  </si>
  <si>
    <t>TRAVAUX PRELIMINAIRES ET ASSAINISSEMENT</t>
  </si>
  <si>
    <t>1.2.1</t>
  </si>
  <si>
    <t>1.2.2</t>
  </si>
  <si>
    <t>SOUS/TOTAL terrassement</t>
  </si>
  <si>
    <t>TOTAL TRAVAUX PRELIMINAIRES ET ASSAINISSEMENT</t>
  </si>
  <si>
    <t xml:space="preserve"> MACONNERIE BETON ARME</t>
  </si>
  <si>
    <t>2.1.1</t>
  </si>
  <si>
    <t>2.1.1.1</t>
  </si>
  <si>
    <t xml:space="preserve"> - Agglos pleins de 15 en ciment</t>
  </si>
  <si>
    <t>2.1.1.2</t>
  </si>
  <si>
    <t xml:space="preserve"> - Raidisseur en béton armé dosé à 350 kg/m3</t>
  </si>
  <si>
    <t>2.1.1.3</t>
  </si>
  <si>
    <t>- Dallage en B.A de 15 cm</t>
  </si>
  <si>
    <t xml:space="preserve">         * Aciers Tors HA 12 kg/m3</t>
  </si>
  <si>
    <t>2.1.1.4</t>
  </si>
  <si>
    <t xml:space="preserve">        * Béton</t>
  </si>
  <si>
    <t xml:space="preserve">        * Aciers Tors HA  80 kg/m3</t>
  </si>
  <si>
    <t xml:space="preserve">        * Coffrage 12 m2/m3</t>
  </si>
  <si>
    <t>2.1.2</t>
  </si>
  <si>
    <t>2.1.2.1</t>
  </si>
  <si>
    <t>2.1.2.2</t>
  </si>
  <si>
    <t>- Raidisseur en béton armé dosé à 350 kg/m3</t>
  </si>
  <si>
    <t>2.1.2.3</t>
  </si>
  <si>
    <t>- Chainage haut en béton armé dosé à 350 kg/m3</t>
  </si>
  <si>
    <t>2.1.2.4</t>
  </si>
  <si>
    <t>2.1.2.5</t>
  </si>
  <si>
    <t>Claustras de 24 x 24 carré, type projet BAD</t>
  </si>
  <si>
    <r>
      <t>m</t>
    </r>
    <r>
      <rPr>
        <vertAlign val="superscript"/>
        <sz val="12"/>
        <rFont val="Arial "/>
      </rPr>
      <t>2</t>
    </r>
  </si>
  <si>
    <t>2.2</t>
  </si>
  <si>
    <t xml:space="preserve"> Escalier en agglos pleins de 15 cm d'épaisseur</t>
  </si>
  <si>
    <t>Panne de 8 x 8cm</t>
  </si>
  <si>
    <t>5.1.1.1</t>
  </si>
  <si>
    <t>5.1.2</t>
  </si>
  <si>
    <t>5.1.2.1</t>
  </si>
  <si>
    <t>5.1.4</t>
  </si>
  <si>
    <t>Acessoires de pose</t>
  </si>
  <si>
    <t>5.1.4.1</t>
  </si>
  <si>
    <t>Tire- fonds complets</t>
  </si>
  <si>
    <t>6.1</t>
  </si>
  <si>
    <t>6.1.1</t>
  </si>
  <si>
    <t>Porte métallique tôlée sur une face</t>
  </si>
  <si>
    <t xml:space="preserve">  * 70 x 200</t>
  </si>
  <si>
    <t>PLOMBERIE SANITAIRE</t>
  </si>
  <si>
    <t>8.1</t>
  </si>
  <si>
    <t xml:space="preserve"> PLOMBERIE</t>
  </si>
  <si>
    <t>8.1.1</t>
  </si>
  <si>
    <t>Appareillage</t>
  </si>
  <si>
    <t>8.1.1.1</t>
  </si>
  <si>
    <t>8.1.1.2</t>
  </si>
  <si>
    <t>TOTAL PLOMBERIE</t>
  </si>
  <si>
    <t>9.1.1.2</t>
  </si>
  <si>
    <t xml:space="preserve"> - Peinture glycérophtalique sur portes métalliques</t>
  </si>
  <si>
    <t>Nettoyage et décapage</t>
  </si>
  <si>
    <t xml:space="preserve"> - Fouilles en rigole pour terrasse 85 x 60 cm</t>
  </si>
  <si>
    <t xml:space="preserve"> - Dallage au sol en béton armé dosé à 300 kg/m3 ép=10cm</t>
  </si>
  <si>
    <t xml:space="preserve"> - Mur en agglos creux de 15 cm d'épaisseur</t>
  </si>
  <si>
    <t>Tôle onduilée colorée ht= 40 cm</t>
  </si>
  <si>
    <t>Porte métallique  146 x 220 pour classes</t>
  </si>
  <si>
    <t>Tableau</t>
  </si>
  <si>
    <t>Coefficient d'éloignement</t>
  </si>
  <si>
    <t>TOTAL GENERAL 3 CLASSES + BUREAU HT</t>
  </si>
  <si>
    <t>Linéaire de fouille</t>
  </si>
  <si>
    <t>Escalier en agglos pleins de 15 d'épaisseur</t>
  </si>
  <si>
    <t>Fouilles en rigole 85 x 60 cm</t>
  </si>
  <si>
    <t xml:space="preserve">         * Aciers Tors HA  80 kg/m3</t>
  </si>
  <si>
    <t xml:space="preserve">Devis de constructoin d'une cantine </t>
  </si>
  <si>
    <t xml:space="preserve">         * Bordure en agglo 10 ordinaire en mortier de ciment y compris fouilles, pose sur béton de propreté, enduit et peinture en façade avant et arrière</t>
  </si>
  <si>
    <t>TOTAL MARCHE HT</t>
  </si>
  <si>
    <r>
      <t>N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 xml:space="preserve"> D'ORD.</t>
    </r>
  </si>
  <si>
    <t>Porte métallique  90 x 220 pour classes et bureau + magasin</t>
  </si>
  <si>
    <t xml:space="preserve">Pour les salles de classe et bureau 200 x 140 </t>
  </si>
  <si>
    <t xml:space="preserve"> - Dallage au sol en béton armé dosé à 300 kg/m3</t>
  </si>
  <si>
    <t>Tôle onduilée  ht= 40 cm</t>
  </si>
  <si>
    <t>Pour les salles de classe</t>
  </si>
  <si>
    <t xml:space="preserve"> - Amorce des poteaux en BA dosé à 350 kg/m3</t>
  </si>
  <si>
    <t xml:space="preserve"> - Chaînage bas en B.A dosé à 350 kg/m3</t>
  </si>
  <si>
    <t xml:space="preserve">         * Aciers Tors HA  60 kg/m3</t>
  </si>
  <si>
    <t xml:space="preserve">         * Enduits int. 1 face dosés à 250 kg/m3 </t>
  </si>
  <si>
    <t>2.1.1.5</t>
  </si>
  <si>
    <t xml:space="preserve">Chape ciment lissée  dosé à 300 kg/m3 </t>
  </si>
  <si>
    <t>ASSAINISSEMENT SECONDAIRE</t>
  </si>
  <si>
    <t xml:space="preserve"> * Dim. 60 x 90</t>
  </si>
  <si>
    <t>TOTAL ASSAINISSEMENT SECONDAIRE</t>
  </si>
  <si>
    <t>Coéfficient d'éloignement</t>
  </si>
  <si>
    <t xml:space="preserve">Nettoyage et décapage du terrain </t>
  </si>
  <si>
    <t>2.2.2.2</t>
  </si>
  <si>
    <t>2.2.2.4</t>
  </si>
  <si>
    <t>2.3.4.1</t>
  </si>
  <si>
    <t>6.1.2</t>
  </si>
  <si>
    <t>6.2</t>
  </si>
  <si>
    <t>6.2.1</t>
  </si>
  <si>
    <t>6.3</t>
  </si>
  <si>
    <t>6.3.1</t>
  </si>
  <si>
    <t>7.1.2</t>
  </si>
  <si>
    <t>7.3</t>
  </si>
  <si>
    <t>7.2.2</t>
  </si>
  <si>
    <t>7.2.3</t>
  </si>
  <si>
    <t>7.3.1</t>
  </si>
  <si>
    <t>7.3.2</t>
  </si>
  <si>
    <t>Placards en maçonnerie des classes et bureaux (140 cm x 200 cm) avec dalette et étagères en BA</t>
  </si>
  <si>
    <t>Bibliothèques en maçonnerie des classes et bureaux (140 cm x 200 cm) avec dalette et étagères en BA</t>
  </si>
  <si>
    <t>- Tableau de 6,00 x 140 avec pose craie pour classes</t>
  </si>
  <si>
    <t>Enduit pentécôte sur mur pour tableau</t>
  </si>
  <si>
    <t>VITRERIE</t>
  </si>
  <si>
    <t>TOTAL VITRERIE</t>
  </si>
  <si>
    <t>Antivol en tube carré ép=3</t>
  </si>
  <si>
    <t>Antivol pour fénêtres de bureau</t>
  </si>
  <si>
    <t>Fenêtres vitrées type naco</t>
  </si>
  <si>
    <t>Cadre en bois rouge</t>
  </si>
  <si>
    <t>Naco en allu</t>
  </si>
  <si>
    <t xml:space="preserve">Vitre </t>
  </si>
  <si>
    <t>Verre claire de largeur 15</t>
  </si>
  <si>
    <t>ens</t>
  </si>
  <si>
    <t>TOTAL GENERAL</t>
  </si>
  <si>
    <t xml:space="preserve">NOMBRE DE SITES </t>
  </si>
  <si>
    <t>TOTAL AMENAGEMENT DE JEUX</t>
  </si>
  <si>
    <t>Apport de sable fin de testure blanche</t>
  </si>
  <si>
    <t>Fourniture et pose de pneuds usés diamètre 65</t>
  </si>
  <si>
    <t>EQUIPEMENT DE TERRAIN</t>
  </si>
  <si>
    <t>TRAVAUX D'AMENAGEMENT D'AIRE DE JEUX</t>
  </si>
  <si>
    <t xml:space="preserve">Application de peinture multicollore sur les pneuds </t>
  </si>
  <si>
    <t>Construction de trois bacs à sable (L= 20m, l=15m) bordé de pneud hors usagés (voir photo jointe)</t>
  </si>
  <si>
    <t>Décapage sur toute la surface aire de jeux à 20 cm</t>
  </si>
  <si>
    <t>AMENAGEMENT AIRE DE JEUX</t>
  </si>
  <si>
    <t>TOTAL HT</t>
  </si>
  <si>
    <t>COEFFICIENT D'ELOIGNEMENT</t>
  </si>
  <si>
    <t>FORATION</t>
  </si>
  <si>
    <t>Qté</t>
  </si>
  <si>
    <t>TOTAL GENERAL 3 CLASSES HT</t>
  </si>
  <si>
    <t>TOTAL 3 CLASSES</t>
  </si>
  <si>
    <t>7.4.2</t>
  </si>
  <si>
    <t>7.4.1</t>
  </si>
  <si>
    <t>7.4</t>
  </si>
  <si>
    <t>Porte métallique  90 x 220 pour classes</t>
  </si>
  <si>
    <t>- Tableau synoptique de 3,00 x 140 pour bueaur et classes</t>
  </si>
  <si>
    <t>Placards et bibliothèques en maçonnerie des classes et bureaux (140 cm x 200 cm) avec dalette et étagères en BA</t>
  </si>
  <si>
    <t xml:space="preserve"> - Agglos creux de 15 cm d'épaisseur en BTC</t>
  </si>
  <si>
    <t>Nettoyage et décapage du terrain</t>
  </si>
  <si>
    <r>
      <t>N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 D'ORD.</t>
    </r>
  </si>
  <si>
    <t>MONTANT LATRINE 3 BLOCS DE 2 CABINES HT</t>
  </si>
  <si>
    <t xml:space="preserve">Nombre de blocs </t>
  </si>
  <si>
    <t>Total bloc latrine à 2 cabines à fosse sèche avec dispositif de lave-main</t>
  </si>
  <si>
    <t xml:space="preserve"> - Peinture glycérophtalique sur ouvrage en béton armé</t>
  </si>
  <si>
    <t>- Vernis acrylique 380 d'imprégnation sur BTCS</t>
  </si>
  <si>
    <t>Vernis marin sur mur en BTCS (intérieur et extérieur)</t>
  </si>
  <si>
    <t>Faîence h=1 m (intérieur-extérieur cabine et dégagement)</t>
  </si>
  <si>
    <t xml:space="preserve">Grès cerame 15x15 cm au sol </t>
  </si>
  <si>
    <t xml:space="preserve">Fourniture et installation d'un dispositif de lavage des mains mobile à pédale </t>
  </si>
  <si>
    <t xml:space="preserve">Tube pcv pour ventilation des fosses diam 80 y/c tout accésoire de pose </t>
  </si>
  <si>
    <t xml:space="preserve">Fourniture et pose de wc turque en porcelaine </t>
  </si>
  <si>
    <t>Portes metalliques</t>
  </si>
  <si>
    <t>Etanchéité sur les têtes des tire-fonds</t>
  </si>
  <si>
    <t>Bardage en tôle bac aluzinc 7/10 ht=30</t>
  </si>
  <si>
    <t xml:space="preserve">         * Enduits dosés à 250 kg/m3 </t>
  </si>
  <si>
    <t>- Briques en terre comprimées et stabilisées</t>
  </si>
  <si>
    <t>- Dalettes de fermeture en béton armé ép = 10 cm</t>
  </si>
  <si>
    <t>Remblais de terre autour de la fosse</t>
  </si>
  <si>
    <t xml:space="preserve">Fouille en excavation </t>
  </si>
  <si>
    <t>Fosse de 2,59 m x 2,00 m, profondeur: 3 m</t>
  </si>
  <si>
    <t xml:space="preserve">Construction de 3 blocs de latrine 2 cabines à fosse sèche (FS) en BTCS avec dispositif de lavage de mains </t>
  </si>
  <si>
    <t xml:space="preserve">   RECONSTRUCTION D'UN BATIMENT TROIS CLASSES </t>
  </si>
  <si>
    <t>Démolition du bâtiment existant de 3 classes à la machine</t>
  </si>
  <si>
    <t>CONSTRUCTION DE LATRINE A 6 CABINES (2x3)</t>
  </si>
  <si>
    <t xml:space="preserve">  ACHEVEMENT D'UN BATIMENT TROIS CLASSES + BUREAU </t>
  </si>
  <si>
    <t>ACHEVEMENT DE TROIS SALLES  DE CLASSES + BUREAU</t>
  </si>
  <si>
    <t xml:space="preserve">CONSTRUCTION DE TROIS SALLES  CLASSES 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</si>
  <si>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colorée y/c tire-fonds</t>
    </r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</si>
  <si>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 y/c tire-fonds</t>
    </r>
  </si>
  <si>
    <t>Tôle bac colorée y/c toutes sujection de pose</t>
  </si>
  <si>
    <t>Couverture en tôle bac aluzinc colorée ép 0,30/0,32 y/c tire-fonds</t>
  </si>
  <si>
    <t>Couverture en tole bac aluzinc colorée ép 0,30/0,32 y/c tire-fonds</t>
  </si>
  <si>
    <t>Couverture en tole bac aluzinc colrée ép 0,30/0,32</t>
  </si>
  <si>
    <t>RECAPITULATIF LOT 4 PASCALKRO</t>
  </si>
  <si>
    <t>Devis quantitatif et estimatif</t>
  </si>
  <si>
    <t>PU</t>
  </si>
  <si>
    <t>MONTANT</t>
  </si>
  <si>
    <t>IMPLANTATION DES SITES DE FORAGE</t>
  </si>
  <si>
    <t>Implantation par la méthode géophysique appuyée par la géomorphologie</t>
  </si>
  <si>
    <t>ATELIER DE FORAGE</t>
  </si>
  <si>
    <t>Préparation de l’atelier de forage et des</t>
  </si>
  <si>
    <t>véhicules, amenée sur le site et repli à la fin des travaux.</t>
  </si>
  <si>
    <t>Montage et démontage de l’atelier de forage sur site</t>
  </si>
  <si>
    <t>Forage dans les altérations en diamètre 8 à 12 pouces</t>
  </si>
  <si>
    <t>ML</t>
  </si>
  <si>
    <t>Forage à l’air comprimé en diamètre de 6,5 à 7</t>
  </si>
  <si>
    <t>pouces dans les formations du socle y compris toutes sujétions</t>
  </si>
  <si>
    <t>TRANSPORT et POSE D’UN PVC PLEIN</t>
  </si>
  <si>
    <t>3a</t>
  </si>
  <si>
    <t>de diamètre intérieur de 5 pouces.</t>
  </si>
  <si>
    <t>3b</t>
  </si>
  <si>
    <t>de diamètre intérieur de 7 pouces</t>
  </si>
  <si>
    <t>TRANSPORT et POSE D’UN PVC CREPINE AVEC FENTE DE 1 mm</t>
  </si>
  <si>
    <t>de diamètre intérieur de 5 pouces</t>
  </si>
  <si>
    <t>GRAVILLONNAGE</t>
  </si>
  <si>
    <t>Gravillonnage de l’espace annulaire sur 5 m avec du gravier quartzeux roulé de granulométrie 2/4 mm (2 minimum et 4 maximum)</t>
  </si>
  <si>
    <t>Forfait</t>
  </si>
  <si>
    <t>REMBLAI ET CIMENTATION EN TETE DE FORAGE</t>
  </si>
  <si>
    <t>Remblai et cimentation en tête de forage sur 5 mètres de profondeur et toutes sujétions.</t>
  </si>
  <si>
    <t>DEVELOPPEMENT D’UN FORAGE A L’AIR-LIFT</t>
  </si>
  <si>
    <t>Développement d’un nouveau forage pendant 4 heures</t>
  </si>
  <si>
    <t>POMPAGE D’ESSAI</t>
  </si>
  <si>
    <t>Pompage d’essai pendant  5 heures, suivi de la remontée</t>
  </si>
  <si>
    <t>REMBLAI DES FORAGES NEGATIFS</t>
  </si>
  <si>
    <t>Remblayage de forage avec le tout-venant du</t>
  </si>
  <si>
    <t>forage et cimentation à la surface du sol à 3 m avec un mortier (mélange sable)</t>
  </si>
  <si>
    <t>INFRASTRUCTURES DE GENIE CIVIL DU FORAGE</t>
  </si>
  <si>
    <t>10a</t>
  </si>
  <si>
    <t>F/P de peinture sur mur de clôture + Message de sensibilisation</t>
  </si>
  <si>
    <t>POSE D’UNE POMPE ET STERILISATION DU</t>
  </si>
  <si>
    <t>FORAGE</t>
  </si>
  <si>
    <t>Stérilisation systématique du forage</t>
  </si>
  <si>
    <t>ANALYSE PHYSICO-CHIMIQUE</t>
  </si>
  <si>
    <t>Analyse physico-chimique de l’eau.</t>
  </si>
  <si>
    <t>TOTAL D'UNE PMH</t>
  </si>
  <si>
    <t>REHABILITATION D'UNE POMPE A MOTRICITE HUMAINE</t>
  </si>
  <si>
    <t>Révison de la margelle</t>
  </si>
  <si>
    <t>Réparation de la clôture, Réparation des deux portes métalliques  et du puits perdu</t>
  </si>
  <si>
    <t>Réparation de la pompe à motricité humaine</t>
  </si>
  <si>
    <t>IREHABILITATION D'UNE POMPE A MOTRICITE HUMAINE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</si>
</sst>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00"/>
    <numFmt numFmtId="166" formatCode="_-* #,##0_-;\-* #,##0_-;_-* &quot;-&quot;??_-;_-@_-"/>
    <numFmt numFmtId="167" formatCode="_-* #,##0.00\ _€_-;\-* #,##0.00\ _€_-;_-* &quot;-&quot;??\ _€_-;_-@_-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vertAlign val="superscript"/>
      <sz val="12"/>
      <name val="Calibri"/>
      <family val="2"/>
    </font>
    <font>
      <sz val="12"/>
      <name val="Calibri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"/>
    </font>
    <font>
      <sz val="11"/>
      <name val="Arial "/>
    </font>
    <font>
      <b/>
      <sz val="12"/>
      <name val="Arial "/>
    </font>
    <font>
      <b/>
      <i/>
      <sz val="12"/>
      <name val="Arial "/>
    </font>
    <font>
      <b/>
      <sz val="14"/>
      <name val="Arial "/>
    </font>
    <font>
      <i/>
      <sz val="12"/>
      <name val="Arial "/>
    </font>
    <font>
      <vertAlign val="superscript"/>
      <sz val="12"/>
      <name val="Arial "/>
    </font>
    <font>
      <sz val="10"/>
      <name val="Arial"/>
      <family val="2"/>
    </font>
    <font>
      <b/>
      <sz val="12"/>
      <color rgb="FF00B050"/>
      <name val="Arial"/>
      <family val="2"/>
    </font>
    <font>
      <b/>
      <i/>
      <sz val="11"/>
      <color rgb="FF92D05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</font>
    <font>
      <b/>
      <sz val="11"/>
      <name val="Arial"/>
      <family val="2"/>
    </font>
    <font>
      <b/>
      <i/>
      <sz val="12"/>
      <color rgb="FF00B050"/>
      <name val="Arial 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4"/>
      <name val="Arial 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b/>
      <sz val="11"/>
      <color rgb="FF00B05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DB4E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4" fillId="0" borderId="0"/>
    <xf numFmtId="43" fontId="34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6" xfId="0" applyFont="1" applyBorder="1"/>
    <xf numFmtId="0" fontId="5" fillId="0" borderId="18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2" fontId="5" fillId="0" borderId="18" xfId="0" applyNumberFormat="1" applyFont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16" xfId="0" quotePrefix="1" applyFont="1" applyBorder="1"/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9" fillId="0" borderId="0" xfId="0" applyFont="1"/>
    <xf numFmtId="0" fontId="5" fillId="0" borderId="18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6" borderId="0" xfId="0" applyFont="1" applyFill="1"/>
    <xf numFmtId="0" fontId="5" fillId="6" borderId="18" xfId="0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5" fillId="6" borderId="0" xfId="0" applyFont="1" applyFill="1" applyAlignment="1">
      <alignment wrapText="1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0" fontId="6" fillId="6" borderId="19" xfId="0" applyFont="1" applyFill="1" applyBorder="1"/>
    <xf numFmtId="0" fontId="5" fillId="6" borderId="12" xfId="0" applyFont="1" applyFill="1" applyBorder="1" applyAlignment="1">
      <alignment horizontal="center"/>
    </xf>
    <xf numFmtId="0" fontId="1" fillId="6" borderId="0" xfId="0" applyFont="1" applyFill="1"/>
    <xf numFmtId="0" fontId="6" fillId="0" borderId="12" xfId="0" applyFont="1" applyBorder="1" applyAlignment="1">
      <alignment horizontal="left"/>
    </xf>
    <xf numFmtId="0" fontId="6" fillId="0" borderId="0" xfId="0" applyFont="1"/>
    <xf numFmtId="0" fontId="6" fillId="0" borderId="18" xfId="0" applyFont="1" applyBorder="1"/>
    <xf numFmtId="0" fontId="5" fillId="0" borderId="20" xfId="0" applyFont="1" applyBorder="1"/>
    <xf numFmtId="0" fontId="1" fillId="0" borderId="12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6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" fillId="0" borderId="18" xfId="0" applyFont="1" applyBorder="1"/>
    <xf numFmtId="165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7" borderId="10" xfId="0" applyFont="1" applyFill="1" applyBorder="1"/>
    <xf numFmtId="0" fontId="6" fillId="7" borderId="13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center"/>
    </xf>
    <xf numFmtId="2" fontId="6" fillId="7" borderId="10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/>
    </xf>
    <xf numFmtId="2" fontId="5" fillId="7" borderId="10" xfId="0" applyNumberFormat="1" applyFont="1" applyFill="1" applyBorder="1" applyAlignment="1">
      <alignment horizontal="center"/>
    </xf>
    <xf numFmtId="0" fontId="5" fillId="9" borderId="13" xfId="0" applyFont="1" applyFill="1" applyBorder="1"/>
    <xf numFmtId="0" fontId="6" fillId="9" borderId="14" xfId="0" applyFont="1" applyFill="1" applyBorder="1"/>
    <xf numFmtId="0" fontId="5" fillId="9" borderId="14" xfId="0" applyFont="1" applyFill="1" applyBorder="1" applyAlignment="1">
      <alignment horizontal="center"/>
    </xf>
    <xf numFmtId="2" fontId="6" fillId="9" borderId="14" xfId="0" applyNumberFormat="1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4" borderId="16" xfId="0" applyFont="1" applyFill="1" applyBorder="1" applyAlignment="1">
      <alignment horizontal="left"/>
    </xf>
    <xf numFmtId="0" fontId="6" fillId="4" borderId="16" xfId="0" applyFont="1" applyFill="1" applyBorder="1"/>
    <xf numFmtId="0" fontId="5" fillId="4" borderId="18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0" fontId="1" fillId="0" borderId="12" xfId="0" applyFont="1" applyBorder="1"/>
    <xf numFmtId="0" fontId="6" fillId="4" borderId="16" xfId="0" quotePrefix="1" applyFont="1" applyFill="1" applyBorder="1"/>
    <xf numFmtId="0" fontId="6" fillId="4" borderId="18" xfId="0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0" fontId="5" fillId="10" borderId="10" xfId="0" applyFont="1" applyFill="1" applyBorder="1"/>
    <xf numFmtId="0" fontId="6" fillId="10" borderId="13" xfId="0" applyFont="1" applyFill="1" applyBorder="1" applyAlignment="1">
      <alignment horizontal="right"/>
    </xf>
    <xf numFmtId="0" fontId="5" fillId="10" borderId="10" xfId="0" applyFont="1" applyFill="1" applyBorder="1" applyAlignment="1">
      <alignment horizontal="center"/>
    </xf>
    <xf numFmtId="2" fontId="6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2" fontId="5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left"/>
    </xf>
    <xf numFmtId="0" fontId="6" fillId="10" borderId="14" xfId="0" applyFont="1" applyFill="1" applyBorder="1" applyAlignment="1">
      <alignment horizontal="right"/>
    </xf>
    <xf numFmtId="0" fontId="12" fillId="0" borderId="0" xfId="0" applyFont="1"/>
    <xf numFmtId="0" fontId="6" fillId="0" borderId="19" xfId="0" applyFont="1" applyBorder="1"/>
    <xf numFmtId="49" fontId="5" fillId="0" borderId="0" xfId="0" applyNumberFormat="1" applyFont="1"/>
    <xf numFmtId="0" fontId="5" fillId="6" borderId="18" xfId="0" applyFont="1" applyFill="1" applyBorder="1" applyAlignment="1">
      <alignment horizontal="left"/>
    </xf>
    <xf numFmtId="0" fontId="6" fillId="11" borderId="18" xfId="0" applyFont="1" applyFill="1" applyBorder="1" applyAlignment="1">
      <alignment horizontal="left"/>
    </xf>
    <xf numFmtId="0" fontId="5" fillId="11" borderId="18" xfId="0" applyFont="1" applyFill="1" applyBorder="1" applyAlignment="1">
      <alignment horizontal="center"/>
    </xf>
    <xf numFmtId="2" fontId="5" fillId="11" borderId="18" xfId="0" applyNumberFormat="1" applyFont="1" applyFill="1" applyBorder="1" applyAlignment="1">
      <alignment horizontal="center"/>
    </xf>
    <xf numFmtId="0" fontId="6" fillId="11" borderId="18" xfId="0" applyFont="1" applyFill="1" applyBorder="1"/>
    <xf numFmtId="0" fontId="4" fillId="0" borderId="13" xfId="0" applyFont="1" applyBorder="1" applyAlignment="1">
      <alignment horizontal="right"/>
    </xf>
    <xf numFmtId="0" fontId="6" fillId="11" borderId="0" xfId="0" applyFont="1" applyFill="1"/>
    <xf numFmtId="0" fontId="6" fillId="11" borderId="16" xfId="0" applyFont="1" applyFill="1" applyBorder="1" applyAlignment="1">
      <alignment horizontal="left"/>
    </xf>
    <xf numFmtId="0" fontId="6" fillId="11" borderId="16" xfId="0" applyFont="1" applyFill="1" applyBorder="1" applyAlignment="1">
      <alignment wrapText="1"/>
    </xf>
    <xf numFmtId="0" fontId="6" fillId="11" borderId="18" xfId="0" applyFont="1" applyFill="1" applyBorder="1" applyAlignment="1">
      <alignment horizontal="center"/>
    </xf>
    <xf numFmtId="2" fontId="6" fillId="11" borderId="18" xfId="0" applyNumberFormat="1" applyFont="1" applyFill="1" applyBorder="1" applyAlignment="1">
      <alignment horizontal="center"/>
    </xf>
    <xf numFmtId="0" fontId="6" fillId="11" borderId="16" xfId="0" applyFont="1" applyFill="1" applyBorder="1"/>
    <xf numFmtId="0" fontId="6" fillId="6" borderId="16" xfId="0" applyFont="1" applyFill="1" applyBorder="1" applyAlignment="1">
      <alignment horizontal="left"/>
    </xf>
    <xf numFmtId="0" fontId="6" fillId="6" borderId="16" xfId="0" applyFont="1" applyFill="1" applyBorder="1"/>
    <xf numFmtId="0" fontId="5" fillId="6" borderId="16" xfId="0" applyFont="1" applyFill="1" applyBorder="1" applyAlignment="1">
      <alignment horizontal="left"/>
    </xf>
    <xf numFmtId="0" fontId="5" fillId="6" borderId="16" xfId="0" applyFont="1" applyFill="1" applyBorder="1"/>
    <xf numFmtId="49" fontId="13" fillId="0" borderId="0" xfId="0" applyNumberFormat="1" applyFont="1" applyAlignment="1">
      <alignment horizontal="left" vertical="top"/>
    </xf>
    <xf numFmtId="0" fontId="13" fillId="0" borderId="0" xfId="0" applyFont="1"/>
    <xf numFmtId="4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3" fontId="6" fillId="5" borderId="25" xfId="0" applyNumberFormat="1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top"/>
    </xf>
    <xf numFmtId="0" fontId="15" fillId="0" borderId="0" xfId="0" applyFont="1"/>
    <xf numFmtId="4" fontId="15" fillId="0" borderId="0" xfId="0" applyNumberFormat="1" applyFont="1"/>
    <xf numFmtId="0" fontId="14" fillId="2" borderId="5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3" fontId="15" fillId="4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0" fontId="15" fillId="6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4" fontId="15" fillId="6" borderId="1" xfId="0" applyNumberFormat="1" applyFont="1" applyFill="1" applyBorder="1"/>
    <xf numFmtId="3" fontId="15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right" vertical="top" wrapText="1"/>
    </xf>
    <xf numFmtId="3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right"/>
    </xf>
    <xf numFmtId="16" fontId="14" fillId="0" borderId="2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top" wrapText="1"/>
    </xf>
    <xf numFmtId="3" fontId="15" fillId="3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/>
    </xf>
    <xf numFmtId="0" fontId="17" fillId="0" borderId="3" xfId="0" applyFont="1" applyBorder="1"/>
    <xf numFmtId="0" fontId="15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 vertical="center"/>
    </xf>
    <xf numFmtId="1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4" fontId="15" fillId="0" borderId="1" xfId="0" applyNumberFormat="1" applyFont="1" applyBorder="1"/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9" fontId="15" fillId="6" borderId="2" xfId="0" applyNumberFormat="1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right" vertical="top" wrapText="1"/>
    </xf>
    <xf numFmtId="3" fontId="15" fillId="6" borderId="1" xfId="0" applyNumberFormat="1" applyFont="1" applyFill="1" applyBorder="1" applyAlignment="1">
      <alignment horizontal="right"/>
    </xf>
    <xf numFmtId="4" fontId="15" fillId="6" borderId="1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5" fillId="0" borderId="1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wrapText="1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0" fontId="14" fillId="5" borderId="1" xfId="0" applyFont="1" applyFill="1" applyBorder="1" applyAlignment="1">
      <alignment vertical="top" wrapText="1"/>
    </xf>
    <xf numFmtId="49" fontId="15" fillId="6" borderId="2" xfId="0" applyNumberFormat="1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 wrapText="1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3" fontId="14" fillId="5" borderId="1" xfId="0" applyNumberFormat="1" applyFont="1" applyFill="1" applyBorder="1" applyAlignment="1">
      <alignment horizontal="center"/>
    </xf>
    <xf numFmtId="0" fontId="19" fillId="0" borderId="0" xfId="0" applyFont="1"/>
    <xf numFmtId="0" fontId="5" fillId="6" borderId="13" xfId="0" applyFont="1" applyFill="1" applyBorder="1"/>
    <xf numFmtId="0" fontId="6" fillId="6" borderId="14" xfId="0" applyFont="1" applyFill="1" applyBorder="1" applyAlignment="1">
      <alignment horizontal="right"/>
    </xf>
    <xf numFmtId="0" fontId="5" fillId="6" borderId="14" xfId="0" applyFont="1" applyFill="1" applyBorder="1" applyAlignment="1">
      <alignment horizontal="center"/>
    </xf>
    <xf numFmtId="2" fontId="6" fillId="6" borderId="14" xfId="0" applyNumberFormat="1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0" fontId="28" fillId="9" borderId="14" xfId="3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vertical="center" wrapText="1"/>
    </xf>
    <xf numFmtId="10" fontId="29" fillId="5" borderId="4" xfId="0" applyNumberFormat="1" applyFont="1" applyFill="1" applyBorder="1" applyAlignment="1">
      <alignment vertical="center" wrapText="1"/>
    </xf>
    <xf numFmtId="0" fontId="7" fillId="0" borderId="0" xfId="0" applyFont="1"/>
    <xf numFmtId="0" fontId="6" fillId="0" borderId="12" xfId="0" applyFont="1" applyBorder="1" applyAlignment="1" applyProtection="1">
      <alignment horizontal="center" vertical="center" wrapText="1"/>
      <protection locked="0"/>
    </xf>
    <xf numFmtId="3" fontId="5" fillId="4" borderId="18" xfId="0" applyNumberFormat="1" applyFont="1" applyFill="1" applyBorder="1" applyAlignment="1" applyProtection="1">
      <alignment horizontal="center"/>
      <protection locked="0"/>
    </xf>
    <xf numFmtId="3" fontId="5" fillId="6" borderId="18" xfId="0" applyNumberFormat="1" applyFont="1" applyFill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3" fontId="6" fillId="0" borderId="18" xfId="0" applyNumberFormat="1" applyFont="1" applyBorder="1" applyAlignment="1" applyProtection="1">
      <alignment horizontal="center"/>
      <protection locked="0"/>
    </xf>
    <xf numFmtId="3" fontId="6" fillId="7" borderId="10" xfId="0" applyNumberFormat="1" applyFont="1" applyFill="1" applyBorder="1" applyAlignment="1" applyProtection="1">
      <alignment horizontal="center"/>
      <protection locked="0"/>
    </xf>
    <xf numFmtId="3" fontId="5" fillId="0" borderId="12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3" fontId="5" fillId="11" borderId="18" xfId="0" applyNumberFormat="1" applyFont="1" applyFill="1" applyBorder="1" applyAlignment="1" applyProtection="1">
      <alignment horizontal="center"/>
      <protection locked="0"/>
    </xf>
    <xf numFmtId="164" fontId="5" fillId="6" borderId="18" xfId="0" applyNumberFormat="1" applyFont="1" applyFill="1" applyBorder="1" applyAlignment="1" applyProtection="1">
      <alignment horizontal="center"/>
      <protection locked="0"/>
    </xf>
    <xf numFmtId="3" fontId="5" fillId="7" borderId="10" xfId="0" applyNumberFormat="1" applyFont="1" applyFill="1" applyBorder="1" applyAlignment="1" applyProtection="1">
      <alignment horizontal="center"/>
      <protection locked="0"/>
    </xf>
    <xf numFmtId="3" fontId="5" fillId="0" borderId="20" xfId="0" applyNumberFormat="1" applyFont="1" applyBorder="1" applyAlignment="1" applyProtection="1">
      <alignment horizontal="center"/>
      <protection locked="0"/>
    </xf>
    <xf numFmtId="3" fontId="6" fillId="10" borderId="10" xfId="0" applyNumberFormat="1" applyFont="1" applyFill="1" applyBorder="1" applyAlignment="1" applyProtection="1">
      <alignment horizontal="center"/>
      <protection locked="0"/>
    </xf>
    <xf numFmtId="3" fontId="6" fillId="11" borderId="18" xfId="0" applyNumberFormat="1" applyFont="1" applyFill="1" applyBorder="1" applyAlignment="1" applyProtection="1">
      <alignment horizontal="center"/>
      <protection locked="0"/>
    </xf>
    <xf numFmtId="3" fontId="5" fillId="10" borderId="1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3" fontId="15" fillId="0" borderId="1" xfId="0" applyNumberFormat="1" applyFont="1" applyBorder="1" applyAlignment="1" applyProtection="1">
      <alignment horizontal="right"/>
      <protection locked="0"/>
    </xf>
    <xf numFmtId="3" fontId="15" fillId="4" borderId="1" xfId="0" applyNumberFormat="1" applyFont="1" applyFill="1" applyBorder="1" applyAlignment="1" applyProtection="1">
      <alignment horizontal="right"/>
      <protection locked="0"/>
    </xf>
    <xf numFmtId="3" fontId="15" fillId="6" borderId="1" xfId="0" applyNumberFormat="1" applyFont="1" applyFill="1" applyBorder="1" applyAlignment="1" applyProtection="1">
      <alignment vertical="center" wrapText="1"/>
      <protection locked="0"/>
    </xf>
    <xf numFmtId="3" fontId="15" fillId="5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right" vertical="center" wrapText="1"/>
      <protection locked="0"/>
    </xf>
    <xf numFmtId="3" fontId="15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Protection="1">
      <protection locked="0"/>
    </xf>
    <xf numFmtId="3" fontId="15" fillId="6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9" fontId="15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3" fontId="2" fillId="0" borderId="0" xfId="2" applyFont="1" applyFill="1" applyAlignment="1">
      <alignment horizontal="center"/>
    </xf>
    <xf numFmtId="43" fontId="2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4" fillId="0" borderId="15" xfId="2" applyFont="1" applyBorder="1" applyAlignment="1">
      <alignment horizontal="center"/>
    </xf>
    <xf numFmtId="43" fontId="6" fillId="0" borderId="12" xfId="2" applyFont="1" applyBorder="1" applyAlignment="1">
      <alignment horizontal="center" vertical="center"/>
    </xf>
    <xf numFmtId="43" fontId="5" fillId="4" borderId="18" xfId="2" applyFont="1" applyFill="1" applyBorder="1" applyAlignment="1">
      <alignment horizontal="center"/>
    </xf>
    <xf numFmtId="43" fontId="5" fillId="6" borderId="18" xfId="2" applyFont="1" applyFill="1" applyBorder="1" applyAlignment="1">
      <alignment horizontal="center"/>
    </xf>
    <xf numFmtId="43" fontId="5" fillId="0" borderId="18" xfId="2" applyFont="1" applyBorder="1" applyAlignment="1">
      <alignment horizontal="center"/>
    </xf>
    <xf numFmtId="43" fontId="6" fillId="7" borderId="10" xfId="2" applyFont="1" applyFill="1" applyBorder="1" applyAlignment="1">
      <alignment horizontal="center"/>
    </xf>
    <xf numFmtId="43" fontId="6" fillId="0" borderId="10" xfId="2" applyFont="1" applyBorder="1" applyAlignment="1">
      <alignment horizontal="center"/>
    </xf>
    <xf numFmtId="43" fontId="5" fillId="11" borderId="18" xfId="2" applyFont="1" applyFill="1" applyBorder="1" applyAlignment="1">
      <alignment horizontal="center"/>
    </xf>
    <xf numFmtId="0" fontId="6" fillId="6" borderId="0" xfId="0" applyFont="1" applyFill="1"/>
    <xf numFmtId="43" fontId="6" fillId="10" borderId="10" xfId="2" applyFont="1" applyFill="1" applyBorder="1" applyAlignment="1">
      <alignment horizontal="center"/>
    </xf>
    <xf numFmtId="43" fontId="6" fillId="6" borderId="10" xfId="2" applyFont="1" applyFill="1" applyBorder="1" applyAlignment="1">
      <alignment horizontal="center"/>
    </xf>
    <xf numFmtId="2" fontId="6" fillId="9" borderId="10" xfId="2" applyNumberFormat="1" applyFont="1" applyFill="1" applyBorder="1" applyAlignment="1">
      <alignment horizontal="center"/>
    </xf>
    <xf numFmtId="43" fontId="6" fillId="9" borderId="10" xfId="2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43" fontId="6" fillId="6" borderId="0" xfId="2" applyFont="1" applyFill="1" applyBorder="1" applyAlignment="1">
      <alignment horizontal="center"/>
    </xf>
    <xf numFmtId="0" fontId="17" fillId="5" borderId="4" xfId="0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23" xfId="0" applyFont="1" applyBorder="1"/>
    <xf numFmtId="49" fontId="6" fillId="0" borderId="13" xfId="0" applyNumberFormat="1" applyFont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3" fontId="4" fillId="0" borderId="10" xfId="2" applyFont="1" applyBorder="1" applyAlignment="1">
      <alignment horizontal="center" vertical="center"/>
    </xf>
    <xf numFmtId="0" fontId="6" fillId="0" borderId="13" xfId="0" applyFont="1" applyBorder="1" applyAlignment="1">
      <alignment horizontal="right"/>
    </xf>
    <xf numFmtId="43" fontId="6" fillId="0" borderId="10" xfId="2" applyFont="1" applyFill="1" applyBorder="1" applyAlignment="1">
      <alignment horizontal="center"/>
    </xf>
    <xf numFmtId="0" fontId="21" fillId="0" borderId="0" xfId="0" applyFont="1"/>
    <xf numFmtId="49" fontId="2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22" fillId="4" borderId="3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24" fillId="9" borderId="1" xfId="0" applyNumberFormat="1" applyFont="1" applyFill="1" applyBorder="1" applyAlignment="1">
      <alignment horizontal="center"/>
    </xf>
    <xf numFmtId="0" fontId="23" fillId="9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9" fontId="33" fillId="9" borderId="1" xfId="3" applyFont="1" applyFill="1" applyBorder="1" applyAlignment="1">
      <alignment vertical="center" wrapText="1"/>
    </xf>
    <xf numFmtId="0" fontId="5" fillId="14" borderId="0" xfId="0" applyFont="1" applyFill="1"/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6" xfId="0" applyFont="1" applyBorder="1" applyAlignment="1">
      <alignment vertical="top"/>
    </xf>
    <xf numFmtId="0" fontId="38" fillId="0" borderId="16" xfId="0" applyFont="1" applyBorder="1" applyAlignment="1">
      <alignment horizontal="left"/>
    </xf>
    <xf numFmtId="0" fontId="39" fillId="0" borderId="16" xfId="0" applyFont="1" applyBorder="1" applyAlignment="1">
      <alignment wrapText="1"/>
    </xf>
    <xf numFmtId="0" fontId="38" fillId="0" borderId="18" xfId="0" applyFont="1" applyBorder="1" applyAlignment="1">
      <alignment horizontal="center"/>
    </xf>
    <xf numFmtId="2" fontId="38" fillId="0" borderId="18" xfId="0" applyNumberFormat="1" applyFont="1" applyBorder="1" applyAlignment="1">
      <alignment horizontal="center"/>
    </xf>
    <xf numFmtId="3" fontId="38" fillId="0" borderId="18" xfId="0" applyNumberFormat="1" applyFont="1" applyBorder="1" applyAlignment="1" applyProtection="1">
      <alignment horizontal="center"/>
      <protection locked="0"/>
    </xf>
    <xf numFmtId="43" fontId="38" fillId="0" borderId="16" xfId="2" applyFont="1" applyBorder="1" applyAlignment="1" applyProtection="1">
      <alignment horizontal="center"/>
    </xf>
    <xf numFmtId="0" fontId="40" fillId="0" borderId="0" xfId="0" applyFont="1"/>
    <xf numFmtId="0" fontId="38" fillId="0" borderId="16" xfId="0" applyFont="1" applyBorder="1"/>
    <xf numFmtId="0" fontId="41" fillId="9" borderId="14" xfId="0" applyFont="1" applyFill="1" applyBorder="1"/>
    <xf numFmtId="49" fontId="2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9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49" fontId="22" fillId="9" borderId="0" xfId="0" applyNumberFormat="1" applyFont="1" applyFill="1" applyAlignment="1">
      <alignment horizontal="center" vertical="top"/>
    </xf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top"/>
    </xf>
    <xf numFmtId="0" fontId="22" fillId="5" borderId="3" xfId="0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right"/>
    </xf>
    <xf numFmtId="0" fontId="22" fillId="6" borderId="1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49" fontId="20" fillId="9" borderId="9" xfId="0" applyNumberFormat="1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6" fillId="6" borderId="0" xfId="2" applyNumberFormat="1" applyFont="1" applyFill="1" applyBorder="1" applyAlignment="1">
      <alignment horizontal="center"/>
    </xf>
    <xf numFmtId="166" fontId="6" fillId="9" borderId="10" xfId="2" applyNumberFormat="1" applyFont="1" applyFill="1" applyBorder="1" applyAlignment="1">
      <alignment horizontal="center"/>
    </xf>
    <xf numFmtId="166" fontId="6" fillId="6" borderId="10" xfId="2" applyNumberFormat="1" applyFont="1" applyFill="1" applyBorder="1" applyAlignment="1">
      <alignment horizontal="center"/>
    </xf>
    <xf numFmtId="0" fontId="6" fillId="6" borderId="14" xfId="0" applyFont="1" applyFill="1" applyBorder="1"/>
    <xf numFmtId="166" fontId="6" fillId="10" borderId="10" xfId="2" applyNumberFormat="1" applyFont="1" applyFill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11" borderId="18" xfId="0" applyNumberFormat="1" applyFont="1" applyFill="1" applyBorder="1" applyAlignment="1">
      <alignment horizontal="center"/>
    </xf>
    <xf numFmtId="3" fontId="6" fillId="10" borderId="10" xfId="0" applyNumberFormat="1" applyFont="1" applyFill="1" applyBorder="1" applyAlignment="1">
      <alignment horizontal="center"/>
    </xf>
    <xf numFmtId="3" fontId="6" fillId="7" borderId="10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6" borderId="18" xfId="0" applyNumberFormat="1" applyFont="1" applyFill="1" applyBorder="1" applyAlignment="1" applyProtection="1">
      <alignment horizontal="center"/>
      <protection locked="0"/>
    </xf>
    <xf numFmtId="2" fontId="6" fillId="6" borderId="18" xfId="0" applyNumberFormat="1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6" xfId="0" quotePrefix="1" applyFont="1" applyFill="1" applyBorder="1"/>
    <xf numFmtId="3" fontId="5" fillId="4" borderId="1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2" fontId="32" fillId="0" borderId="10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0" xfId="0" applyFont="1" applyBorder="1" applyAlignment="1">
      <alignment vertical="center"/>
    </xf>
    <xf numFmtId="0" fontId="23" fillId="9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 applyProtection="1">
      <alignment vertical="top"/>
      <protection locked="0"/>
    </xf>
    <xf numFmtId="49" fontId="2" fillId="0" borderId="2" xfId="0" applyNumberFormat="1" applyFont="1" applyBorder="1" applyAlignment="1">
      <alignment vertical="top"/>
    </xf>
    <xf numFmtId="0" fontId="2" fillId="0" borderId="0" xfId="0" applyFont="1" applyAlignment="1">
      <alignment vertical="center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>
      <alignment vertical="center" wrapText="1"/>
    </xf>
    <xf numFmtId="0" fontId="22" fillId="5" borderId="3" xfId="0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2" xfId="0" applyFont="1" applyBorder="1"/>
    <xf numFmtId="0" fontId="22" fillId="0" borderId="3" xfId="0" applyFont="1" applyBorder="1"/>
    <xf numFmtId="0" fontId="2" fillId="0" borderId="2" xfId="0" applyFont="1" applyBorder="1" applyAlignment="1">
      <alignment horizontal="left"/>
    </xf>
    <xf numFmtId="3" fontId="2" fillId="4" borderId="1" xfId="0" applyNumberFormat="1" applyFont="1" applyFill="1" applyBorder="1" applyAlignment="1" applyProtection="1">
      <alignment horizontal="center"/>
      <protection locked="0"/>
    </xf>
    <xf numFmtId="0" fontId="22" fillId="4" borderId="2" xfId="0" applyFont="1" applyFill="1" applyBorder="1" applyAlignment="1">
      <alignment horizont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top"/>
    </xf>
    <xf numFmtId="0" fontId="22" fillId="5" borderId="1" xfId="0" applyFont="1" applyFill="1" applyBorder="1" applyAlignment="1">
      <alignment vertical="top" wrapText="1"/>
    </xf>
    <xf numFmtId="0" fontId="22" fillId="5" borderId="3" xfId="0" applyFont="1" applyFill="1" applyBorder="1" applyAlignment="1">
      <alignment horizontal="right" vertical="top" wrapText="1"/>
    </xf>
    <xf numFmtId="0" fontId="2" fillId="6" borderId="0" xfId="0" applyFont="1" applyFill="1"/>
    <xf numFmtId="3" fontId="24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 applyProtection="1">
      <alignment horizontal="center" vertical="center"/>
      <protection locked="0"/>
    </xf>
    <xf numFmtId="3" fontId="2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vertical="top" wrapText="1"/>
    </xf>
    <xf numFmtId="0" fontId="22" fillId="6" borderId="1" xfId="0" applyFont="1" applyFill="1" applyBorder="1" applyAlignment="1">
      <alignment horizontal="right" vertical="top" wrapText="1"/>
    </xf>
    <xf numFmtId="49" fontId="2" fillId="6" borderId="2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wrapText="1"/>
    </xf>
    <xf numFmtId="49" fontId="22" fillId="0" borderId="3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" fillId="13" borderId="0" xfId="0" applyFont="1" applyFill="1"/>
    <xf numFmtId="0" fontId="22" fillId="0" borderId="3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16" fontId="22" fillId="0" borderId="3" xfId="0" applyNumberFormat="1" applyFont="1" applyBorder="1" applyAlignment="1">
      <alignment horizontal="center" vertical="center"/>
    </xf>
    <xf numFmtId="3" fontId="24" fillId="10" borderId="1" xfId="0" applyNumberFormat="1" applyFont="1" applyFill="1" applyBorder="1" applyAlignment="1">
      <alignment horizontal="center" vertical="center"/>
    </xf>
    <xf numFmtId="3" fontId="2" fillId="10" borderId="1" xfId="0" applyNumberFormat="1" applyFont="1" applyFill="1" applyBorder="1" applyAlignment="1" applyProtection="1">
      <alignment horizontal="center" vertical="center"/>
      <protection locked="0"/>
    </xf>
    <xf numFmtId="3" fontId="2" fillId="10" borderId="1" xfId="0" applyNumberFormat="1" applyFont="1" applyFill="1" applyBorder="1" applyAlignment="1">
      <alignment horizontal="center" vertical="center"/>
    </xf>
    <xf numFmtId="3" fontId="2" fillId="10" borderId="1" xfId="0" applyNumberFormat="1" applyFont="1" applyFill="1" applyBorder="1" applyAlignment="1">
      <alignment horizontal="right"/>
    </xf>
    <xf numFmtId="0" fontId="23" fillId="10" borderId="3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/>
    <xf numFmtId="49" fontId="2" fillId="0" borderId="3" xfId="0" applyNumberFormat="1" applyFont="1" applyBorder="1"/>
    <xf numFmtId="0" fontId="25" fillId="0" borderId="3" xfId="0" applyFont="1" applyBorder="1"/>
    <xf numFmtId="0" fontId="22" fillId="6" borderId="3" xfId="0" applyFont="1" applyFill="1" applyBorder="1"/>
    <xf numFmtId="0" fontId="2" fillId="0" borderId="3" xfId="0" applyFont="1" applyBorder="1" applyAlignment="1">
      <alignment horizontal="center"/>
    </xf>
    <xf numFmtId="0" fontId="22" fillId="5" borderId="3" xfId="0" applyFont="1" applyFill="1" applyBorder="1" applyAlignment="1">
      <alignment horizontal="right" vertical="top"/>
    </xf>
    <xf numFmtId="3" fontId="2" fillId="10" borderId="1" xfId="0" applyNumberFormat="1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7" xfId="0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0" fillId="12" borderId="3" xfId="0" applyNumberFormat="1" applyFont="1" applyFill="1" applyBorder="1" applyAlignment="1">
      <alignment horizontal="center" vertical="center"/>
    </xf>
    <xf numFmtId="49" fontId="30" fillId="12" borderId="4" xfId="0" applyNumberFormat="1" applyFont="1" applyFill="1" applyBorder="1" applyAlignment="1">
      <alignment horizontal="center" vertical="center"/>
    </xf>
    <xf numFmtId="49" fontId="30" fillId="12" borderId="7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49" fontId="20" fillId="8" borderId="3" xfId="0" applyNumberFormat="1" applyFont="1" applyFill="1" applyBorder="1" applyAlignment="1">
      <alignment horizontal="center" vertical="center" wrapText="1"/>
    </xf>
    <xf numFmtId="49" fontId="20" fillId="8" borderId="4" xfId="0" applyNumberFormat="1" applyFont="1" applyFill="1" applyBorder="1" applyAlignment="1">
      <alignment horizontal="center" vertical="center" wrapText="1"/>
    </xf>
    <xf numFmtId="49" fontId="20" fillId="8" borderId="7" xfId="0" applyNumberFormat="1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49" fontId="42" fillId="6" borderId="3" xfId="0" applyNumberFormat="1" applyFont="1" applyFill="1" applyBorder="1" applyAlignment="1">
      <alignment horizontal="center" vertical="center"/>
    </xf>
    <xf numFmtId="49" fontId="24" fillId="6" borderId="4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12" borderId="21" xfId="0" applyNumberFormat="1" applyFont="1" applyFill="1" applyBorder="1" applyAlignment="1">
      <alignment horizontal="center" vertical="center"/>
    </xf>
    <xf numFmtId="49" fontId="6" fillId="12" borderId="2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7" fillId="0" borderId="31" xfId="0" applyFont="1" applyBorder="1" applyAlignment="1">
      <alignment horizontal="center" vertical="center" wrapText="1"/>
    </xf>
    <xf numFmtId="0" fontId="47" fillId="0" borderId="13" xfId="0" applyFont="1" applyBorder="1" applyAlignment="1">
      <alignment vertical="center" wrapText="1"/>
    </xf>
    <xf numFmtId="0" fontId="47" fillId="0" borderId="10" xfId="0" applyFont="1" applyBorder="1" applyAlignment="1">
      <alignment horizontal="center" vertical="center" wrapText="1"/>
    </xf>
    <xf numFmtId="0" fontId="44" fillId="8" borderId="32" xfId="0" applyFont="1" applyFill="1" applyBorder="1" applyAlignment="1">
      <alignment horizontal="center" vertical="center" wrapText="1"/>
    </xf>
    <xf numFmtId="0" fontId="44" fillId="8" borderId="31" xfId="0" applyFont="1" applyFill="1" applyBorder="1" applyAlignment="1">
      <alignment vertical="center" wrapText="1"/>
    </xf>
    <xf numFmtId="0" fontId="48" fillId="8" borderId="33" xfId="0" applyFont="1" applyFill="1" applyBorder="1" applyAlignment="1">
      <alignment horizontal="center" vertical="center" wrapText="1"/>
    </xf>
    <xf numFmtId="0" fontId="48" fillId="8" borderId="33" xfId="0" applyFont="1" applyFill="1" applyBorder="1" applyAlignment="1" applyProtection="1">
      <alignment horizontal="center" vertical="center" wrapText="1"/>
      <protection locked="0"/>
    </xf>
    <xf numFmtId="0" fontId="49" fillId="8" borderId="33" xfId="0" applyFont="1" applyFill="1" applyBorder="1" applyAlignment="1">
      <alignment horizontal="center" vertical="center" wrapText="1"/>
    </xf>
    <xf numFmtId="0" fontId="50" fillId="0" borderId="32" xfId="0" applyFont="1" applyBorder="1" applyAlignment="1">
      <alignment horizontal="center" vertical="center" wrapText="1"/>
    </xf>
    <xf numFmtId="0" fontId="50" fillId="0" borderId="34" xfId="0" applyFont="1" applyBorder="1" applyAlignment="1">
      <alignment vertical="center" wrapText="1"/>
    </xf>
    <xf numFmtId="0" fontId="50" fillId="0" borderId="33" xfId="0" applyFont="1" applyBorder="1" applyAlignment="1">
      <alignment horizontal="center" vertical="center" wrapText="1"/>
    </xf>
    <xf numFmtId="0" fontId="50" fillId="0" borderId="33" xfId="0" applyFont="1" applyBorder="1" applyAlignment="1" applyProtection="1">
      <alignment horizontal="center" vertical="center" wrapText="1"/>
      <protection locked="0"/>
    </xf>
    <xf numFmtId="0" fontId="44" fillId="8" borderId="34" xfId="0" applyFont="1" applyFill="1" applyBorder="1" applyAlignment="1">
      <alignment vertical="center" wrapText="1"/>
    </xf>
    <xf numFmtId="0" fontId="47" fillId="0" borderId="35" xfId="0" applyFont="1" applyBorder="1" applyAlignment="1">
      <alignment horizontal="center" vertical="center" wrapText="1"/>
    </xf>
    <xf numFmtId="0" fontId="50" fillId="0" borderId="36" xfId="0" applyFont="1" applyBorder="1" applyAlignment="1">
      <alignment vertical="center" wrapText="1"/>
    </xf>
    <xf numFmtId="0" fontId="50" fillId="0" borderId="18" xfId="0" applyFont="1" applyBorder="1" applyAlignment="1">
      <alignment horizontal="center" vertical="center" wrapText="1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50" fillId="0" borderId="35" xfId="0" applyFont="1" applyBorder="1" applyAlignment="1">
      <alignment horizontal="center" vertical="center" wrapText="1"/>
    </xf>
    <xf numFmtId="0" fontId="50" fillId="0" borderId="37" xfId="0" applyFont="1" applyBorder="1" applyAlignment="1">
      <alignment vertical="center" wrapText="1"/>
    </xf>
    <xf numFmtId="0" fontId="50" fillId="0" borderId="38" xfId="0" applyFont="1" applyBorder="1" applyAlignment="1">
      <alignment horizontal="left" vertical="center" wrapText="1"/>
    </xf>
    <xf numFmtId="0" fontId="44" fillId="8" borderId="31" xfId="0" applyFont="1" applyFill="1" applyBorder="1" applyAlignment="1">
      <alignment horizontal="center" vertical="center" wrapText="1"/>
    </xf>
    <xf numFmtId="0" fontId="44" fillId="8" borderId="13" xfId="0" applyFont="1" applyFill="1" applyBorder="1" applyAlignment="1">
      <alignment vertical="center" wrapText="1"/>
    </xf>
    <xf numFmtId="0" fontId="48" fillId="8" borderId="10" xfId="0" applyFont="1" applyFill="1" applyBorder="1" applyAlignment="1">
      <alignment horizontal="center" vertical="center" wrapText="1"/>
    </xf>
    <xf numFmtId="0" fontId="48" fillId="8" borderId="10" xfId="0" applyFont="1" applyFill="1" applyBorder="1" applyAlignment="1" applyProtection="1">
      <alignment horizontal="center" vertical="center" wrapText="1"/>
      <protection locked="0"/>
    </xf>
    <xf numFmtId="0" fontId="49" fillId="8" borderId="10" xfId="0" applyFont="1" applyFill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 wrapText="1"/>
    </xf>
    <xf numFmtId="0" fontId="50" fillId="0" borderId="12" xfId="0" applyFont="1" applyBorder="1" applyAlignment="1">
      <alignment vertical="center" wrapText="1"/>
    </xf>
    <xf numFmtId="0" fontId="50" fillId="0" borderId="12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wrapText="1"/>
    </xf>
    <xf numFmtId="0" fontId="50" fillId="0" borderId="18" xfId="0" applyFont="1" applyBorder="1" applyAlignment="1">
      <alignment vertical="center" wrapText="1"/>
    </xf>
    <xf numFmtId="0" fontId="50" fillId="0" borderId="31" xfId="0" applyFont="1" applyBorder="1" applyAlignment="1">
      <alignment horizontal="center" vertical="center" wrapText="1"/>
    </xf>
    <xf numFmtId="0" fontId="50" fillId="0" borderId="20" xfId="0" applyFont="1" applyBorder="1" applyAlignment="1">
      <alignment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40" xfId="0" applyFont="1" applyBorder="1" applyAlignment="1">
      <alignment horizontal="center" vertical="center" wrapText="1"/>
    </xf>
    <xf numFmtId="0" fontId="50" fillId="0" borderId="40" xfId="0" applyFont="1" applyBorder="1" applyAlignment="1" applyProtection="1">
      <alignment horizontal="center" vertical="center" wrapText="1"/>
      <protection locked="0"/>
    </xf>
    <xf numFmtId="0" fontId="50" fillId="0" borderId="31" xfId="0" applyFont="1" applyBorder="1" applyAlignment="1">
      <alignment vertical="center" wrapText="1"/>
    </xf>
    <xf numFmtId="0" fontId="44" fillId="8" borderId="39" xfId="0" applyFont="1" applyFill="1" applyBorder="1" applyAlignment="1">
      <alignment horizontal="center" vertical="center" wrapText="1"/>
    </xf>
    <xf numFmtId="0" fontId="44" fillId="8" borderId="36" xfId="0" applyFont="1" applyFill="1" applyBorder="1" applyAlignment="1">
      <alignment vertical="center" wrapText="1"/>
    </xf>
    <xf numFmtId="0" fontId="48" fillId="8" borderId="40" xfId="0" applyFont="1" applyFill="1" applyBorder="1" applyAlignment="1">
      <alignment horizontal="center" vertical="center" wrapText="1"/>
    </xf>
    <xf numFmtId="0" fontId="48" fillId="8" borderId="40" xfId="0" applyFont="1" applyFill="1" applyBorder="1" applyAlignment="1" applyProtection="1">
      <alignment horizontal="center" vertical="center" wrapText="1"/>
      <protection locked="0"/>
    </xf>
    <xf numFmtId="0" fontId="49" fillId="8" borderId="40" xfId="0" applyFont="1" applyFill="1" applyBorder="1" applyAlignment="1">
      <alignment horizontal="center" vertical="center" wrapText="1"/>
    </xf>
    <xf numFmtId="0" fontId="50" fillId="0" borderId="41" xfId="0" applyFont="1" applyBorder="1" applyAlignment="1">
      <alignment horizontal="center" vertical="center" wrapText="1"/>
    </xf>
    <xf numFmtId="0" fontId="50" fillId="0" borderId="42" xfId="0" applyFont="1" applyBorder="1" applyAlignment="1">
      <alignment vertic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 applyProtection="1">
      <alignment horizontal="center" vertical="center" wrapText="1"/>
      <protection locked="0"/>
    </xf>
    <xf numFmtId="0" fontId="44" fillId="8" borderId="35" xfId="0" applyFont="1" applyFill="1" applyBorder="1" applyAlignment="1">
      <alignment horizontal="center" vertical="center" wrapText="1"/>
    </xf>
    <xf numFmtId="0" fontId="44" fillId="8" borderId="37" xfId="0" applyFont="1" applyFill="1" applyBorder="1" applyAlignment="1">
      <alignment vertical="center" wrapText="1"/>
    </xf>
    <xf numFmtId="0" fontId="48" fillId="8" borderId="18" xfId="0" applyFont="1" applyFill="1" applyBorder="1" applyAlignment="1">
      <alignment horizontal="center" vertical="center" wrapText="1"/>
    </xf>
    <xf numFmtId="0" fontId="48" fillId="8" borderId="18" xfId="0" applyFont="1" applyFill="1" applyBorder="1" applyAlignment="1" applyProtection="1">
      <alignment horizontal="center" vertical="center" wrapText="1"/>
      <protection locked="0"/>
    </xf>
    <xf numFmtId="0" fontId="49" fillId="8" borderId="18" xfId="0" applyFont="1" applyFill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8" fillId="8" borderId="20" xfId="0" applyFont="1" applyFill="1" applyBorder="1" applyAlignment="1">
      <alignment horizontal="center" vertical="center" wrapText="1"/>
    </xf>
    <xf numFmtId="0" fontId="48" fillId="8" borderId="20" xfId="0" applyFont="1" applyFill="1" applyBorder="1" applyAlignment="1" applyProtection="1">
      <alignment horizontal="center" vertical="center" wrapText="1"/>
      <protection locked="0"/>
    </xf>
    <xf numFmtId="0" fontId="49" fillId="8" borderId="20" xfId="0" applyFont="1" applyFill="1" applyBorder="1" applyAlignment="1">
      <alignment horizontal="center" vertical="center" wrapText="1"/>
    </xf>
    <xf numFmtId="0" fontId="44" fillId="15" borderId="32" xfId="0" applyFont="1" applyFill="1" applyBorder="1" applyAlignment="1">
      <alignment horizontal="center" vertical="center" wrapText="1"/>
    </xf>
    <xf numFmtId="0" fontId="44" fillId="15" borderId="34" xfId="0" applyFont="1" applyFill="1" applyBorder="1" applyAlignment="1">
      <alignment vertical="center" wrapText="1"/>
    </xf>
    <xf numFmtId="0" fontId="48" fillId="15" borderId="33" xfId="0" applyFont="1" applyFill="1" applyBorder="1" applyAlignment="1">
      <alignment horizontal="center" vertical="center" wrapText="1"/>
    </xf>
    <xf numFmtId="0" fontId="48" fillId="15" borderId="33" xfId="0" applyFont="1" applyFill="1" applyBorder="1" applyAlignment="1" applyProtection="1">
      <alignment horizontal="center" vertical="center" wrapText="1"/>
      <protection locked="0"/>
    </xf>
    <xf numFmtId="0" fontId="49" fillId="15" borderId="33" xfId="0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50" fillId="0" borderId="40" xfId="0" applyFont="1" applyBorder="1" applyAlignment="1" applyProtection="1">
      <alignment vertical="center" wrapText="1"/>
      <protection locked="0"/>
    </xf>
    <xf numFmtId="0" fontId="44" fillId="8" borderId="41" xfId="0" applyFont="1" applyFill="1" applyBorder="1" applyAlignment="1">
      <alignment horizontal="center" vertical="center" wrapText="1"/>
    </xf>
    <xf numFmtId="0" fontId="44" fillId="8" borderId="11" xfId="0" applyFont="1" applyFill="1" applyBorder="1" applyAlignment="1">
      <alignment vertical="center" wrapText="1"/>
    </xf>
    <xf numFmtId="0" fontId="48" fillId="8" borderId="43" xfId="0" applyFont="1" applyFill="1" applyBorder="1" applyAlignment="1">
      <alignment horizontal="center" vertical="center" wrapText="1"/>
    </xf>
    <xf numFmtId="0" fontId="48" fillId="8" borderId="43" xfId="0" applyFont="1" applyFill="1" applyBorder="1" applyAlignment="1" applyProtection="1">
      <alignment vertical="center" wrapText="1"/>
      <protection locked="0"/>
    </xf>
    <xf numFmtId="0" fontId="49" fillId="8" borderId="43" xfId="0" applyFont="1" applyFill="1" applyBorder="1" applyAlignment="1">
      <alignment horizontal="center" vertical="center" wrapText="1"/>
    </xf>
    <xf numFmtId="0" fontId="44" fillId="8" borderId="44" xfId="0" applyFont="1" applyFill="1" applyBorder="1" applyAlignment="1">
      <alignment vertical="center" wrapText="1"/>
    </xf>
    <xf numFmtId="0" fontId="50" fillId="0" borderId="44" xfId="0" applyFont="1" applyBorder="1" applyAlignment="1">
      <alignment vertical="center" wrapText="1"/>
    </xf>
    <xf numFmtId="0" fontId="50" fillId="0" borderId="33" xfId="0" applyFont="1" applyBorder="1" applyAlignment="1" applyProtection="1">
      <alignment vertical="center" wrapText="1"/>
      <protection locked="0"/>
    </xf>
    <xf numFmtId="0" fontId="50" fillId="0" borderId="18" xfId="0" applyFont="1" applyBorder="1" applyAlignment="1">
      <alignment horizontal="justify" vertical="center" wrapText="1"/>
    </xf>
    <xf numFmtId="0" fontId="50" fillId="0" borderId="18" xfId="0" applyFont="1" applyBorder="1" applyAlignment="1" applyProtection="1">
      <alignment vertical="center" wrapText="1"/>
      <protection locked="0"/>
    </xf>
    <xf numFmtId="0" fontId="44" fillId="8" borderId="45" xfId="0" applyFont="1" applyFill="1" applyBorder="1" applyAlignment="1">
      <alignment horizontal="center" vertical="center" wrapText="1"/>
    </xf>
    <xf numFmtId="0" fontId="44" fillId="8" borderId="19" xfId="0" applyFont="1" applyFill="1" applyBorder="1" applyAlignment="1">
      <alignment vertical="center" wrapText="1"/>
    </xf>
    <xf numFmtId="0" fontId="48" fillId="8" borderId="12" xfId="0" applyFont="1" applyFill="1" applyBorder="1" applyAlignment="1">
      <alignment horizontal="center" vertical="center" wrapText="1"/>
    </xf>
    <xf numFmtId="0" fontId="48" fillId="8" borderId="12" xfId="0" applyFont="1" applyFill="1" applyBorder="1" applyAlignment="1" applyProtection="1">
      <alignment vertical="center" wrapText="1"/>
      <protection locked="0"/>
    </xf>
    <xf numFmtId="0" fontId="49" fillId="8" borderId="12" xfId="0" applyFont="1" applyFill="1" applyBorder="1" applyAlignment="1">
      <alignment horizontal="center" vertical="center" wrapText="1"/>
    </xf>
    <xf numFmtId="0" fontId="44" fillId="8" borderId="46" xfId="0" applyFont="1" applyFill="1" applyBorder="1" applyAlignment="1">
      <alignment horizontal="center" vertical="center" wrapText="1"/>
    </xf>
    <xf numFmtId="0" fontId="44" fillId="8" borderId="15" xfId="0" applyFont="1" applyFill="1" applyBorder="1" applyAlignment="1">
      <alignment vertical="center" wrapText="1"/>
    </xf>
    <xf numFmtId="0" fontId="48" fillId="8" borderId="20" xfId="0" applyFont="1" applyFill="1" applyBorder="1" applyAlignment="1">
      <alignment horizontal="center" vertical="center" wrapText="1"/>
    </xf>
    <xf numFmtId="0" fontId="48" fillId="8" borderId="20" xfId="0" applyFont="1" applyFill="1" applyBorder="1" applyAlignment="1" applyProtection="1">
      <alignment vertical="center" wrapText="1"/>
      <protection locked="0"/>
    </xf>
    <xf numFmtId="0" fontId="49" fillId="8" borderId="20" xfId="0" applyFont="1" applyFill="1" applyBorder="1" applyAlignment="1">
      <alignment horizontal="center" vertical="center" wrapText="1"/>
    </xf>
    <xf numFmtId="0" fontId="50" fillId="0" borderId="19" xfId="0" applyFont="1" applyBorder="1" applyAlignment="1">
      <alignment vertical="center" wrapText="1"/>
    </xf>
    <xf numFmtId="0" fontId="50" fillId="0" borderId="43" xfId="0" applyFont="1" applyBorder="1" applyAlignment="1">
      <alignment horizontal="center" vertical="center" wrapText="1"/>
    </xf>
    <xf numFmtId="0" fontId="50" fillId="0" borderId="43" xfId="0" applyFont="1" applyBorder="1" applyAlignment="1" applyProtection="1">
      <alignment vertical="center" wrapText="1"/>
      <protection locked="0"/>
    </xf>
    <xf numFmtId="0" fontId="44" fillId="9" borderId="13" xfId="0" applyFont="1" applyFill="1" applyBorder="1" applyAlignment="1">
      <alignment horizontal="center" vertical="center" wrapText="1"/>
    </xf>
    <xf numFmtId="0" fontId="44" fillId="9" borderId="14" xfId="0" applyFont="1" applyFill="1" applyBorder="1" applyAlignment="1">
      <alignment horizontal="center" vertical="center" wrapText="1"/>
    </xf>
    <xf numFmtId="0" fontId="44" fillId="9" borderId="14" xfId="0" applyFont="1" applyFill="1" applyBorder="1" applyAlignment="1">
      <alignment horizontal="center" vertical="center" wrapText="1"/>
    </xf>
    <xf numFmtId="0" fontId="44" fillId="9" borderId="14" xfId="0" applyFont="1" applyFill="1" applyBorder="1" applyAlignment="1">
      <alignment vertical="center" wrapText="1"/>
    </xf>
    <xf numFmtId="0" fontId="43" fillId="9" borderId="11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10" fontId="51" fillId="9" borderId="14" xfId="0" applyNumberFormat="1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vertical="center" wrapText="1"/>
    </xf>
    <xf numFmtId="0" fontId="50" fillId="0" borderId="0" xfId="0" applyFont="1" applyBorder="1" applyAlignment="1" applyProtection="1">
      <alignment vertical="center" wrapText="1"/>
      <protection locked="0"/>
    </xf>
    <xf numFmtId="0" fontId="50" fillId="0" borderId="23" xfId="0" applyFont="1" applyBorder="1" applyAlignment="1">
      <alignment horizontal="center" vertical="center" wrapText="1"/>
    </xf>
    <xf numFmtId="0" fontId="50" fillId="0" borderId="47" xfId="0" applyFont="1" applyBorder="1" applyAlignment="1">
      <alignment horizontal="center" vertical="center" wrapText="1"/>
    </xf>
    <xf numFmtId="0" fontId="50" fillId="0" borderId="12" xfId="0" applyFont="1" applyBorder="1" applyAlignment="1" applyProtection="1">
      <alignment vertical="center" wrapText="1"/>
      <protection locked="0"/>
    </xf>
  </cellXfs>
  <cellStyles count="15">
    <cellStyle name="Milliers" xfId="2" builtinId="3"/>
    <cellStyle name="Milliers 2" xfId="5" xr:uid="{648974AF-A814-4527-91AA-7D813ABDF06E}"/>
    <cellStyle name="Milliers 2 2" xfId="13" xr:uid="{4EF352C4-2941-4D1D-B048-92FCD3F37585}"/>
    <cellStyle name="Milliers 2 3" xfId="14" xr:uid="{4221E62E-0B54-48F6-8338-074E1EAF9E7B}"/>
    <cellStyle name="Milliers 3" xfId="8" xr:uid="{ED699584-654A-48B4-AE6C-A009A9783F1D}"/>
    <cellStyle name="Milliers 4" xfId="11" xr:uid="{654A5D46-0CA0-46E1-8835-A21EEE461B76}"/>
    <cellStyle name="Normal" xfId="0" builtinId="0"/>
    <cellStyle name="Normal 2" xfId="1" xr:uid="{00000000-0005-0000-0000-000001000000}"/>
    <cellStyle name="Normal 2 2" xfId="12" xr:uid="{8179E05E-5437-44EC-AC57-7A15013F8D49}"/>
    <cellStyle name="Normal 3" xfId="4" xr:uid="{CBD1F6BD-AC68-49B0-90C7-33BA901D2C8D}"/>
    <cellStyle name="Normal 4" xfId="6" xr:uid="{348FDBAB-B8DD-4F53-BCA2-97BE812E9A3C}"/>
    <cellStyle name="Normal 4 2" xfId="9" xr:uid="{BE93DCFC-D12B-4544-AD9A-AA0E09A5AA1B}"/>
    <cellStyle name="Normal 5" xfId="10" xr:uid="{06BE30CD-17A2-4E9A-BFD0-00452F81EA6A}"/>
    <cellStyle name="Pourcentage" xfId="3" builtinId="5"/>
    <cellStyle name="Pourcentage 2" xfId="7" xr:uid="{2858F958-7E18-4ADA-8926-E7B03302AAAA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2529840</xdr:colOff>
      <xdr:row>0</xdr:row>
      <xdr:rowOff>167640</xdr:rowOff>
    </xdr:from>
    <xdr:to>
      <xdr:col>2</xdr:col>
      <xdr:colOff>244475</xdr:colOff>
      <xdr:row>2</xdr:row>
      <xdr:rowOff>243840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8A3433A-C486-4D14-9154-C76C286F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" y="167640"/>
          <a:ext cx="1913255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2446020</xdr:colOff>
      <xdr:row>0</xdr:row>
      <xdr:rowOff>152400</xdr:rowOff>
    </xdr:from>
    <xdr:ext cx="1997357" cy="802922"/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9C77CC52-14F7-48F5-92DB-B4042C973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1470" y="152400"/>
          <a:ext cx="1997357" cy="80292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1836420</xdr:colOff>
      <xdr:row>0</xdr:row>
      <xdr:rowOff>198120</xdr:rowOff>
    </xdr:from>
    <xdr:to>
      <xdr:col>2</xdr:col>
      <xdr:colOff>92075</xdr:colOff>
      <xdr:row>0</xdr:row>
      <xdr:rowOff>998220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7C39F4E-842F-43CB-BD9A-49DF6544D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98120"/>
          <a:ext cx="1913255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2179321</xdr:colOff>
      <xdr:row>0</xdr:row>
      <xdr:rowOff>144780</xdr:rowOff>
    </xdr:from>
    <xdr:to>
      <xdr:col>2</xdr:col>
      <xdr:colOff>398146</xdr:colOff>
      <xdr:row>0</xdr:row>
      <xdr:rowOff>829897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16F592D0-651B-4911-A2B4-E8913A4AC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7471" y="144780"/>
          <a:ext cx="1698625" cy="6851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2238375</xdr:colOff>
      <xdr:row>0</xdr:row>
      <xdr:rowOff>161925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5079EA67-6270-43E6-AC16-5127AAE6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161925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2116666</xdr:colOff>
      <xdr:row>0</xdr:row>
      <xdr:rowOff>256155</xdr:rowOff>
    </xdr:from>
    <xdr:to>
      <xdr:col>0</xdr:col>
      <xdr:colOff>3831167</xdr:colOff>
      <xdr:row>0</xdr:row>
      <xdr:rowOff>973138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C660D8F-0346-4D41-A1C8-E215B90B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6" y="256155"/>
          <a:ext cx="1714501" cy="716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19CA-3984-4635-8D3F-A3E62DAD3324}">
  <dimension ref="A1:F126"/>
  <sheetViews>
    <sheetView showGridLines="0" view="pageBreakPreview" topLeftCell="A59" zoomScale="80" zoomScaleSheetLayoutView="80" workbookViewId="0">
      <selection activeCell="B75" sqref="B75"/>
    </sheetView>
  </sheetViews>
  <sheetFormatPr baseColWidth="10" defaultColWidth="11.453125" defaultRowHeight="15.5"/>
  <cols>
    <col min="1" max="1" width="10" style="232" customWidth="1"/>
    <col min="2" max="2" width="61.1796875" style="232" bestFit="1" customWidth="1"/>
    <col min="3" max="3" width="9.1796875" style="2" customWidth="1"/>
    <col min="4" max="4" width="10.54296875" style="3" customWidth="1"/>
    <col min="5" max="5" width="11.81640625" style="3" customWidth="1"/>
    <col min="6" max="6" width="18.81640625" style="233" customWidth="1"/>
    <col min="7" max="16384" width="11.453125" style="2"/>
  </cols>
  <sheetData>
    <row r="1" spans="1:6" ht="29.5" customHeight="1"/>
    <row r="2" spans="1:6" ht="27.65" customHeight="1"/>
    <row r="3" spans="1:6" ht="23" customHeight="1">
      <c r="A3" s="1"/>
      <c r="B3" s="1"/>
      <c r="F3" s="234"/>
    </row>
    <row r="4" spans="1:6" s="4" customFormat="1" ht="13" thickBot="1">
      <c r="B4" s="403"/>
      <c r="C4" s="403"/>
      <c r="D4" s="5"/>
      <c r="E4" s="229"/>
      <c r="F4" s="235"/>
    </row>
    <row r="5" spans="1:6" s="4" customFormat="1" ht="23" customHeight="1" thickBot="1">
      <c r="A5" s="404" t="s">
        <v>449</v>
      </c>
      <c r="B5" s="405"/>
      <c r="C5" s="405"/>
      <c r="D5" s="405"/>
      <c r="E5" s="405"/>
      <c r="F5" s="406"/>
    </row>
    <row r="6" spans="1:6" s="4" customFormat="1" ht="13.25" customHeight="1" thickBot="1">
      <c r="B6" s="7"/>
      <c r="C6" s="7"/>
      <c r="D6" s="8"/>
      <c r="E6" s="9"/>
      <c r="F6" s="236"/>
    </row>
    <row r="7" spans="1:6" s="10" customFormat="1" ht="33" customHeight="1" thickBot="1">
      <c r="A7" s="262" t="s">
        <v>354</v>
      </c>
      <c r="B7" s="263" t="s">
        <v>70</v>
      </c>
      <c r="C7" s="264" t="s">
        <v>75</v>
      </c>
      <c r="D7" s="265" t="s">
        <v>76</v>
      </c>
      <c r="E7" s="266" t="s">
        <v>77</v>
      </c>
      <c r="F7" s="267" t="s">
        <v>78</v>
      </c>
    </row>
    <row r="8" spans="1:6" s="10" customFormat="1" ht="14.5" customHeight="1">
      <c r="A8" s="66"/>
      <c r="B8" s="65"/>
      <c r="C8" s="6"/>
      <c r="D8" s="64"/>
      <c r="E8" s="198"/>
      <c r="F8" s="237"/>
    </row>
    <row r="9" spans="1:6" s="4" customFormat="1">
      <c r="A9" s="67" t="s">
        <v>147</v>
      </c>
      <c r="B9" s="68" t="s">
        <v>146</v>
      </c>
      <c r="C9" s="69"/>
      <c r="D9" s="70"/>
      <c r="E9" s="199"/>
      <c r="F9" s="238"/>
    </row>
    <row r="10" spans="1:6" s="4" customFormat="1" ht="14" customHeight="1">
      <c r="A10" s="98"/>
      <c r="B10" s="99"/>
      <c r="C10" s="32"/>
      <c r="D10" s="33"/>
      <c r="E10" s="200"/>
      <c r="F10" s="239"/>
    </row>
    <row r="11" spans="1:6" s="4" customFormat="1" ht="16.25" customHeight="1">
      <c r="A11" s="100" t="s">
        <v>68</v>
      </c>
      <c r="B11" s="101" t="s">
        <v>370</v>
      </c>
      <c r="C11" s="32" t="s">
        <v>176</v>
      </c>
      <c r="D11" s="33">
        <v>0</v>
      </c>
      <c r="E11" s="200"/>
      <c r="F11" s="240">
        <f t="shared" ref="F11:F12" si="0">D11*E11</f>
        <v>0</v>
      </c>
    </row>
    <row r="12" spans="1:6" s="4" customFormat="1" ht="15.65" customHeight="1">
      <c r="A12" s="15" t="s">
        <v>5</v>
      </c>
      <c r="B12" s="16" t="s">
        <v>175</v>
      </c>
      <c r="C12" s="12" t="s">
        <v>176</v>
      </c>
      <c r="D12" s="17">
        <v>1</v>
      </c>
      <c r="E12" s="201"/>
      <c r="F12" s="240">
        <f t="shared" si="0"/>
        <v>0</v>
      </c>
    </row>
    <row r="13" spans="1:6" s="4" customFormat="1" ht="17.5" customHeight="1" thickBot="1">
      <c r="A13" s="15" t="s">
        <v>69</v>
      </c>
      <c r="B13" s="16" t="s">
        <v>174</v>
      </c>
      <c r="C13" s="12" t="s">
        <v>176</v>
      </c>
      <c r="D13" s="17">
        <v>0</v>
      </c>
      <c r="E13" s="200"/>
      <c r="F13" s="240">
        <f>D13*E13</f>
        <v>0</v>
      </c>
    </row>
    <row r="14" spans="1:6" s="4" customFormat="1" ht="16" thickBot="1">
      <c r="A14" s="52"/>
      <c r="B14" s="53" t="s">
        <v>155</v>
      </c>
      <c r="C14" s="54"/>
      <c r="D14" s="55"/>
      <c r="E14" s="202"/>
      <c r="F14" s="241">
        <f>SUM(F11:F13)</f>
        <v>0</v>
      </c>
    </row>
    <row r="15" spans="1:6" s="4" customFormat="1">
      <c r="B15" s="71"/>
      <c r="C15" s="22"/>
      <c r="D15" s="23"/>
      <c r="E15" s="203"/>
      <c r="F15" s="240"/>
    </row>
    <row r="16" spans="1:6" s="4" customFormat="1">
      <c r="A16" s="67" t="s">
        <v>14</v>
      </c>
      <c r="B16" s="72" t="s">
        <v>148</v>
      </c>
      <c r="C16" s="73"/>
      <c r="D16" s="74"/>
      <c r="E16" s="204"/>
      <c r="F16" s="238"/>
    </row>
    <row r="17" spans="1:6" s="4" customFormat="1">
      <c r="A17" s="14"/>
      <c r="B17" s="21"/>
      <c r="C17" s="22"/>
      <c r="D17" s="23"/>
      <c r="E17" s="205"/>
      <c r="F17" s="240"/>
    </row>
    <row r="18" spans="1:6" s="4" customFormat="1">
      <c r="A18" s="15" t="s">
        <v>79</v>
      </c>
      <c r="B18" s="16" t="s">
        <v>80</v>
      </c>
      <c r="C18" s="12"/>
      <c r="D18" s="17"/>
      <c r="E18" s="201"/>
      <c r="F18" s="240"/>
    </row>
    <row r="19" spans="1:6" s="4" customFormat="1">
      <c r="A19" s="15" t="s">
        <v>292</v>
      </c>
      <c r="B19" s="16" t="s">
        <v>347</v>
      </c>
      <c r="C19" s="12" t="s">
        <v>7</v>
      </c>
      <c r="D19" s="50">
        <v>0</v>
      </c>
      <c r="E19" s="201"/>
      <c r="F19" s="240"/>
    </row>
    <row r="20" spans="1:6" s="4" customFormat="1">
      <c r="A20" s="15" t="s">
        <v>293</v>
      </c>
      <c r="B20" s="16" t="s">
        <v>339</v>
      </c>
      <c r="C20" s="12" t="s">
        <v>10</v>
      </c>
      <c r="D20" s="50">
        <f>D19*0.85*0.6</f>
        <v>0</v>
      </c>
      <c r="E20" s="201"/>
      <c r="F20" s="240">
        <f>D20*E20</f>
        <v>0</v>
      </c>
    </row>
    <row r="21" spans="1:6" s="4" customFormat="1" ht="17.5" customHeight="1">
      <c r="A21" s="15" t="s">
        <v>295</v>
      </c>
      <c r="B21" s="16" t="s">
        <v>83</v>
      </c>
      <c r="C21" s="12" t="s">
        <v>10</v>
      </c>
      <c r="D21" s="50">
        <f>D19*0.65*0.45</f>
        <v>0</v>
      </c>
      <c r="E21" s="201"/>
      <c r="F21" s="240">
        <f t="shared" ref="F21:F22" si="1">D21*E21</f>
        <v>0</v>
      </c>
    </row>
    <row r="22" spans="1:6" s="4" customFormat="1" ht="17.5" customHeight="1" thickBot="1">
      <c r="A22" s="15" t="s">
        <v>297</v>
      </c>
      <c r="B22" s="16" t="s">
        <v>85</v>
      </c>
      <c r="C22" s="12" t="s">
        <v>10</v>
      </c>
      <c r="D22" s="50">
        <f>30.27*9.88*1</f>
        <v>299.06760000000003</v>
      </c>
      <c r="E22" s="201"/>
      <c r="F22" s="240">
        <f t="shared" si="1"/>
        <v>0</v>
      </c>
    </row>
    <row r="23" spans="1:6" s="4" customFormat="1" ht="17.5" customHeight="1" thickBot="1">
      <c r="A23" s="18"/>
      <c r="B23" s="268" t="s">
        <v>156</v>
      </c>
      <c r="C23" s="19"/>
      <c r="D23" s="20"/>
      <c r="E23" s="208"/>
      <c r="F23" s="269">
        <f>SUM(F20:F22)</f>
        <v>0</v>
      </c>
    </row>
    <row r="24" spans="1:6" s="4" customFormat="1" ht="17.5" customHeight="1">
      <c r="A24" s="24" t="s">
        <v>314</v>
      </c>
      <c r="B24" s="84" t="s">
        <v>173</v>
      </c>
      <c r="C24" s="25"/>
      <c r="D24" s="13"/>
      <c r="E24" s="207"/>
      <c r="F24" s="240"/>
    </row>
    <row r="25" spans="1:6" s="4" customFormat="1" ht="17.5" customHeight="1">
      <c r="A25" s="28" t="s">
        <v>17</v>
      </c>
      <c r="B25" s="27" t="s">
        <v>172</v>
      </c>
      <c r="C25" s="12"/>
      <c r="D25" s="17"/>
      <c r="E25" s="201"/>
      <c r="F25" s="240"/>
    </row>
    <row r="26" spans="1:6" s="4" customFormat="1" ht="17.5" customHeight="1">
      <c r="A26" s="28" t="s">
        <v>86</v>
      </c>
      <c r="B26" s="29" t="s">
        <v>87</v>
      </c>
      <c r="C26" s="12" t="s">
        <v>10</v>
      </c>
      <c r="D26" s="17">
        <f>D19*0.6*0.05</f>
        <v>0</v>
      </c>
      <c r="E26" s="201"/>
      <c r="F26" s="240">
        <f>D26*E26</f>
        <v>0</v>
      </c>
    </row>
    <row r="27" spans="1:6" s="4" customFormat="1" ht="17.5" customHeight="1">
      <c r="A27" s="28" t="s">
        <v>88</v>
      </c>
      <c r="B27" s="29" t="s">
        <v>178</v>
      </c>
      <c r="C27" s="12" t="s">
        <v>10</v>
      </c>
      <c r="D27" s="17">
        <f>D19*0.6*0.15</f>
        <v>0</v>
      </c>
      <c r="E27" s="201"/>
      <c r="F27" s="240">
        <f t="shared" ref="F27:F57" si="2">D27*E27</f>
        <v>0</v>
      </c>
    </row>
    <row r="28" spans="1:6" s="4" customFormat="1" ht="17.5" customHeight="1">
      <c r="A28" s="28" t="s">
        <v>89</v>
      </c>
      <c r="B28" s="29" t="s">
        <v>360</v>
      </c>
      <c r="C28" s="12" t="s">
        <v>10</v>
      </c>
      <c r="D28" s="17">
        <f>(29*0.15*0.15*0.66+9*0.15*0.2*0.66)*0</f>
        <v>0</v>
      </c>
      <c r="E28" s="201"/>
      <c r="F28" s="240">
        <f t="shared" si="2"/>
        <v>0</v>
      </c>
    </row>
    <row r="29" spans="1:6" s="4" customFormat="1" ht="17.5" customHeight="1">
      <c r="A29" s="28" t="s">
        <v>90</v>
      </c>
      <c r="B29" s="29" t="s">
        <v>361</v>
      </c>
      <c r="C29" s="12" t="s">
        <v>10</v>
      </c>
      <c r="D29" s="17">
        <f>134.51*0.2*0.15*0</f>
        <v>0</v>
      </c>
      <c r="E29" s="201"/>
      <c r="F29" s="240">
        <f t="shared" si="2"/>
        <v>0</v>
      </c>
    </row>
    <row r="30" spans="1:6" s="4" customFormat="1">
      <c r="A30" s="28" t="s">
        <v>91</v>
      </c>
      <c r="B30" s="29" t="s">
        <v>180</v>
      </c>
      <c r="C30" s="12" t="s">
        <v>4</v>
      </c>
      <c r="D30" s="17">
        <f>134.51*1.05*0</f>
        <v>0</v>
      </c>
      <c r="E30" s="201"/>
      <c r="F30" s="240">
        <f t="shared" si="2"/>
        <v>0</v>
      </c>
    </row>
    <row r="31" spans="1:6" s="4" customFormat="1">
      <c r="A31" s="28" t="s">
        <v>92</v>
      </c>
      <c r="B31" s="29" t="s">
        <v>340</v>
      </c>
      <c r="C31" s="32" t="s">
        <v>10</v>
      </c>
      <c r="D31" s="33">
        <f>30.27*9.88*0.1</f>
        <v>29.906760000000006</v>
      </c>
      <c r="E31" s="200"/>
      <c r="F31" s="240">
        <f t="shared" si="2"/>
        <v>0</v>
      </c>
    </row>
    <row r="32" spans="1:6" s="4" customFormat="1">
      <c r="A32" s="28"/>
      <c r="B32" s="29" t="s">
        <v>93</v>
      </c>
      <c r="C32" s="12" t="s">
        <v>4</v>
      </c>
      <c r="D32" s="17">
        <f>30.27*9.88</f>
        <v>299.06760000000003</v>
      </c>
      <c r="E32" s="201"/>
      <c r="F32" s="240">
        <f t="shared" si="2"/>
        <v>0</v>
      </c>
    </row>
    <row r="33" spans="1:6" s="4" customFormat="1">
      <c r="A33" s="28" t="s">
        <v>94</v>
      </c>
      <c r="B33" s="29" t="s">
        <v>95</v>
      </c>
      <c r="C33" s="12"/>
      <c r="D33" s="17"/>
      <c r="E33" s="201"/>
      <c r="F33" s="240"/>
    </row>
    <row r="34" spans="1:6" s="4" customFormat="1" ht="46.5">
      <c r="A34" s="28"/>
      <c r="B34" s="34" t="s">
        <v>352</v>
      </c>
      <c r="C34" s="12" t="s">
        <v>4</v>
      </c>
      <c r="D34" s="17">
        <f>30.27*0.44*4*2</f>
        <v>106.5504</v>
      </c>
      <c r="E34" s="201"/>
      <c r="F34" s="240">
        <f t="shared" si="2"/>
        <v>0</v>
      </c>
    </row>
    <row r="35" spans="1:6" s="4" customFormat="1">
      <c r="A35" s="28"/>
      <c r="B35" s="31" t="s">
        <v>96</v>
      </c>
      <c r="C35" s="12" t="s">
        <v>10</v>
      </c>
      <c r="D35" s="17">
        <f>30.27*0.4*0.4*2</f>
        <v>9.6864000000000008</v>
      </c>
      <c r="E35" s="201"/>
      <c r="F35" s="240">
        <f t="shared" si="2"/>
        <v>0</v>
      </c>
    </row>
    <row r="36" spans="1:6" s="4" customFormat="1">
      <c r="A36" s="28"/>
      <c r="B36" s="31" t="s">
        <v>97</v>
      </c>
      <c r="C36" s="12" t="s">
        <v>10</v>
      </c>
      <c r="D36" s="17">
        <f>30.27*0.4*0.1*2</f>
        <v>2.4216000000000002</v>
      </c>
      <c r="E36" s="201"/>
      <c r="F36" s="240">
        <f t="shared" si="2"/>
        <v>0</v>
      </c>
    </row>
    <row r="37" spans="1:6" s="4" customFormat="1">
      <c r="A37" s="28" t="s">
        <v>24</v>
      </c>
      <c r="B37" s="83" t="s">
        <v>149</v>
      </c>
      <c r="C37" s="22"/>
      <c r="D37" s="17"/>
      <c r="E37" s="205"/>
      <c r="F37" s="240"/>
    </row>
    <row r="38" spans="1:6" s="4" customFormat="1">
      <c r="A38" s="28" t="s">
        <v>26</v>
      </c>
      <c r="B38" s="29" t="s">
        <v>341</v>
      </c>
      <c r="C38" s="12" t="s">
        <v>4</v>
      </c>
      <c r="D38" s="17">
        <v>0</v>
      </c>
      <c r="E38" s="201"/>
      <c r="F38" s="240">
        <f t="shared" si="2"/>
        <v>0</v>
      </c>
    </row>
    <row r="39" spans="1:6" s="4" customFormat="1">
      <c r="A39" s="28" t="s">
        <v>371</v>
      </c>
      <c r="B39" s="29" t="s">
        <v>98</v>
      </c>
      <c r="C39" s="12" t="s">
        <v>10</v>
      </c>
      <c r="D39" s="17">
        <v>0</v>
      </c>
      <c r="E39" s="201"/>
      <c r="F39" s="240">
        <f t="shared" si="2"/>
        <v>0</v>
      </c>
    </row>
    <row r="40" spans="1:6" s="4" customFormat="1">
      <c r="A40" s="28" t="s">
        <v>150</v>
      </c>
      <c r="B40" s="29" t="s">
        <v>99</v>
      </c>
      <c r="C40" s="12" t="s">
        <v>10</v>
      </c>
      <c r="D40" s="17">
        <v>0</v>
      </c>
      <c r="E40" s="201"/>
      <c r="F40" s="240">
        <f t="shared" si="2"/>
        <v>0</v>
      </c>
    </row>
    <row r="41" spans="1:6" s="4" customFormat="1">
      <c r="A41" s="28" t="s">
        <v>372</v>
      </c>
      <c r="B41" s="29" t="s">
        <v>102</v>
      </c>
      <c r="C41" s="12" t="s">
        <v>10</v>
      </c>
      <c r="D41" s="17">
        <v>0</v>
      </c>
      <c r="E41" s="201"/>
      <c r="F41" s="240">
        <f t="shared" si="2"/>
        <v>0</v>
      </c>
    </row>
    <row r="42" spans="1:6" s="4" customFormat="1">
      <c r="A42" s="28" t="s">
        <v>27</v>
      </c>
      <c r="B42" s="29" t="s">
        <v>33</v>
      </c>
      <c r="C42" s="12"/>
      <c r="D42" s="17"/>
      <c r="E42" s="201"/>
      <c r="F42" s="240"/>
    </row>
    <row r="43" spans="1:6" s="4" customFormat="1">
      <c r="A43" s="28"/>
      <c r="B43" s="29" t="s">
        <v>177</v>
      </c>
      <c r="C43" s="12" t="s">
        <v>4</v>
      </c>
      <c r="D43" s="17">
        <f>(30.35*2+9.88+7.23)*3-D46-(4*0.9*2.2+31.14*2.2)+2*(12*1.6/2)</f>
        <v>120.042</v>
      </c>
      <c r="E43" s="201"/>
      <c r="F43" s="240">
        <f t="shared" si="2"/>
        <v>0</v>
      </c>
    </row>
    <row r="44" spans="1:6" s="4" customFormat="1">
      <c r="A44" s="28"/>
      <c r="B44" s="29" t="s">
        <v>179</v>
      </c>
      <c r="C44" s="12" t="s">
        <v>4</v>
      </c>
      <c r="D44" s="17">
        <f>(30.35*2+9.38*2+7.23*7)*3-D43-5*1*2.2+3*1.46*2.2+(2*(12*1.6/2))</f>
        <v>288.00400000000002</v>
      </c>
      <c r="E44" s="201"/>
      <c r="F44" s="240">
        <f t="shared" si="2"/>
        <v>0</v>
      </c>
    </row>
    <row r="45" spans="1:6" s="4" customFormat="1">
      <c r="A45" s="28" t="s">
        <v>28</v>
      </c>
      <c r="B45" s="29" t="s">
        <v>103</v>
      </c>
      <c r="C45" s="12"/>
      <c r="D45" s="17"/>
      <c r="E45" s="201"/>
      <c r="F45" s="240"/>
    </row>
    <row r="46" spans="1:6" s="4" customFormat="1" ht="31">
      <c r="A46" s="28" t="s">
        <v>29</v>
      </c>
      <c r="B46" s="51" t="s">
        <v>143</v>
      </c>
      <c r="C46" s="12" t="s">
        <v>104</v>
      </c>
      <c r="D46" s="17">
        <f>3*(3*1.8*1.8+2*2.5*1.8)</f>
        <v>56.16</v>
      </c>
      <c r="E46" s="201"/>
      <c r="F46" s="240">
        <f t="shared" si="2"/>
        <v>0</v>
      </c>
    </row>
    <row r="47" spans="1:6" s="4" customFormat="1">
      <c r="A47" s="28" t="s">
        <v>6</v>
      </c>
      <c r="B47" s="83" t="s">
        <v>34</v>
      </c>
      <c r="C47" s="12"/>
      <c r="D47" s="17"/>
      <c r="E47" s="201"/>
      <c r="F47" s="240"/>
    </row>
    <row r="48" spans="1:6" s="4" customFormat="1" ht="31">
      <c r="A48" s="289" t="s">
        <v>30</v>
      </c>
      <c r="B48" s="51" t="s">
        <v>385</v>
      </c>
      <c r="C48" s="12" t="s">
        <v>9</v>
      </c>
      <c r="D48" s="17">
        <v>4</v>
      </c>
      <c r="E48" s="201"/>
      <c r="F48" s="240">
        <f t="shared" ref="F48" si="3">D48*E48</f>
        <v>0</v>
      </c>
    </row>
    <row r="49" spans="1:6" s="4" customFormat="1" ht="34.5" customHeight="1">
      <c r="A49" s="289" t="s">
        <v>31</v>
      </c>
      <c r="B49" s="51" t="s">
        <v>386</v>
      </c>
      <c r="C49" s="12" t="s">
        <v>9</v>
      </c>
      <c r="D49" s="17">
        <v>3</v>
      </c>
      <c r="E49" s="201"/>
      <c r="F49" s="240">
        <f t="shared" si="2"/>
        <v>0</v>
      </c>
    </row>
    <row r="50" spans="1:6" s="4" customFormat="1" ht="20.25" customHeight="1">
      <c r="A50" s="28" t="s">
        <v>108</v>
      </c>
      <c r="B50" s="29" t="s">
        <v>152</v>
      </c>
      <c r="C50" s="12" t="s">
        <v>9</v>
      </c>
      <c r="D50" s="17">
        <v>4</v>
      </c>
      <c r="E50" s="201"/>
      <c r="F50" s="240">
        <f t="shared" si="2"/>
        <v>0</v>
      </c>
    </row>
    <row r="51" spans="1:6" s="4" customFormat="1">
      <c r="A51" s="28" t="s">
        <v>108</v>
      </c>
      <c r="B51" s="27" t="s">
        <v>36</v>
      </c>
      <c r="C51" s="12"/>
      <c r="D51" s="17"/>
      <c r="E51" s="201"/>
      <c r="F51" s="240"/>
    </row>
    <row r="52" spans="1:6" s="4" customFormat="1">
      <c r="A52" s="28" t="s">
        <v>109</v>
      </c>
      <c r="B52" s="29" t="s">
        <v>105</v>
      </c>
      <c r="C52" s="12" t="s">
        <v>10</v>
      </c>
      <c r="D52" s="17">
        <f>1*1.5*0.3</f>
        <v>0.44999999999999996</v>
      </c>
      <c r="E52" s="201"/>
      <c r="F52" s="240">
        <f t="shared" si="2"/>
        <v>0</v>
      </c>
    </row>
    <row r="53" spans="1:6" s="4" customFormat="1">
      <c r="A53" s="28" t="s">
        <v>110</v>
      </c>
      <c r="B53" s="16" t="s">
        <v>107</v>
      </c>
      <c r="C53" s="12" t="s">
        <v>10</v>
      </c>
      <c r="D53" s="17">
        <f>1*1.5*0.2</f>
        <v>0.30000000000000004</v>
      </c>
      <c r="E53" s="201"/>
      <c r="F53" s="240">
        <f t="shared" si="2"/>
        <v>0</v>
      </c>
    </row>
    <row r="54" spans="1:6" s="4" customFormat="1">
      <c r="A54" s="28" t="s">
        <v>111</v>
      </c>
      <c r="B54" s="29" t="s">
        <v>87</v>
      </c>
      <c r="C54" s="12" t="s">
        <v>10</v>
      </c>
      <c r="D54" s="17">
        <f>1*1.5*0.05</f>
        <v>7.5000000000000011E-2</v>
      </c>
      <c r="E54" s="201"/>
      <c r="F54" s="240">
        <f t="shared" si="2"/>
        <v>0</v>
      </c>
    </row>
    <row r="55" spans="1:6" s="4" customFormat="1">
      <c r="A55" s="28" t="s">
        <v>151</v>
      </c>
      <c r="B55" s="29" t="s">
        <v>106</v>
      </c>
      <c r="C55" s="12" t="s">
        <v>4</v>
      </c>
      <c r="D55" s="17">
        <f>2.5*2*0.44</f>
        <v>2.2000000000000002</v>
      </c>
      <c r="E55" s="201"/>
      <c r="F55" s="240">
        <f t="shared" si="2"/>
        <v>0</v>
      </c>
    </row>
    <row r="56" spans="1:6" s="4" customFormat="1">
      <c r="A56" s="28"/>
      <c r="B56" s="29" t="s">
        <v>20</v>
      </c>
      <c r="C56" s="12" t="s">
        <v>10</v>
      </c>
      <c r="D56" s="17">
        <f>1*1.5*0.15</f>
        <v>0.22499999999999998</v>
      </c>
      <c r="E56" s="201"/>
      <c r="F56" s="240">
        <f t="shared" si="2"/>
        <v>0</v>
      </c>
    </row>
    <row r="57" spans="1:6" s="4" customFormat="1">
      <c r="A57" s="28"/>
      <c r="B57" s="29" t="s">
        <v>61</v>
      </c>
      <c r="C57" s="12" t="s">
        <v>23</v>
      </c>
      <c r="D57" s="17">
        <f>D56*70</f>
        <v>15.749999999999998</v>
      </c>
      <c r="E57" s="201"/>
      <c r="F57" s="240">
        <f t="shared" si="2"/>
        <v>0</v>
      </c>
    </row>
    <row r="58" spans="1:6" s="4" customFormat="1">
      <c r="A58" s="28" t="s">
        <v>112</v>
      </c>
      <c r="B58" s="27" t="s">
        <v>114</v>
      </c>
      <c r="C58" s="12"/>
      <c r="D58" s="17"/>
      <c r="E58" s="201"/>
      <c r="F58" s="240"/>
    </row>
    <row r="59" spans="1:6" s="4" customFormat="1">
      <c r="A59" s="28" t="s">
        <v>373</v>
      </c>
      <c r="B59" s="85" t="s">
        <v>284</v>
      </c>
      <c r="C59" s="12" t="s">
        <v>9</v>
      </c>
      <c r="D59" s="17">
        <v>4</v>
      </c>
      <c r="E59" s="201"/>
      <c r="F59" s="240">
        <f t="shared" ref="F59:F60" si="4">D59*E59</f>
        <v>0</v>
      </c>
    </row>
    <row r="60" spans="1:6" s="4" customFormat="1" ht="16" thickBot="1">
      <c r="A60" s="28" t="s">
        <v>113</v>
      </c>
      <c r="B60" s="85" t="s">
        <v>387</v>
      </c>
      <c r="C60" s="12" t="s">
        <v>9</v>
      </c>
      <c r="D60" s="17">
        <v>3</v>
      </c>
      <c r="E60" s="201"/>
      <c r="F60" s="240">
        <f t="shared" si="4"/>
        <v>0</v>
      </c>
    </row>
    <row r="61" spans="1:6" s="4" customFormat="1" ht="17.5" customHeight="1" thickBot="1">
      <c r="A61" s="18"/>
      <c r="B61" s="91" t="s">
        <v>115</v>
      </c>
      <c r="C61" s="19"/>
      <c r="D61" s="20"/>
      <c r="E61" s="208"/>
      <c r="F61" s="242">
        <f>SUM(F26:F60)</f>
        <v>0</v>
      </c>
    </row>
    <row r="62" spans="1:6" s="4" customFormat="1" ht="16" thickBot="1">
      <c r="A62" s="52"/>
      <c r="B62" s="53" t="s">
        <v>153</v>
      </c>
      <c r="C62" s="54"/>
      <c r="D62" s="55"/>
      <c r="E62" s="206"/>
      <c r="F62" s="241">
        <f>F23+F61</f>
        <v>0</v>
      </c>
    </row>
    <row r="63" spans="1:6" s="40" customFormat="1">
      <c r="A63" s="37"/>
      <c r="B63" s="38"/>
      <c r="C63" s="39"/>
      <c r="D63" s="33"/>
      <c r="E63" s="200"/>
      <c r="F63" s="239"/>
    </row>
    <row r="64" spans="1:6" s="40" customFormat="1">
      <c r="A64" s="87" t="s">
        <v>18</v>
      </c>
      <c r="B64" s="90" t="s">
        <v>71</v>
      </c>
      <c r="C64" s="88"/>
      <c r="D64" s="89"/>
      <c r="E64" s="209"/>
      <c r="F64" s="243"/>
    </row>
    <row r="65" spans="1:6" s="40" customFormat="1">
      <c r="A65" s="86"/>
      <c r="B65" s="244"/>
      <c r="C65" s="32"/>
      <c r="D65" s="33"/>
      <c r="E65" s="200"/>
      <c r="F65" s="239"/>
    </row>
    <row r="66" spans="1:6" s="4" customFormat="1">
      <c r="A66" s="28" t="s">
        <v>116</v>
      </c>
      <c r="B66" s="29" t="s">
        <v>117</v>
      </c>
      <c r="C66" s="12"/>
      <c r="D66" s="17"/>
      <c r="E66" s="201"/>
      <c r="F66" s="240"/>
    </row>
    <row r="67" spans="1:6" s="4" customFormat="1">
      <c r="A67" s="15" t="s">
        <v>118</v>
      </c>
      <c r="B67" s="16" t="s">
        <v>120</v>
      </c>
      <c r="C67" s="12" t="s">
        <v>10</v>
      </c>
      <c r="D67" s="17">
        <f>(31.27*10.88)/100*0</f>
        <v>0</v>
      </c>
      <c r="E67" s="210"/>
      <c r="F67" s="240">
        <f t="shared" ref="F67:F68" si="5">D67*E67</f>
        <v>0</v>
      </c>
    </row>
    <row r="68" spans="1:6" s="4" customFormat="1" ht="16" thickBot="1">
      <c r="A68" s="15" t="s">
        <v>119</v>
      </c>
      <c r="B68" s="16" t="s">
        <v>122</v>
      </c>
      <c r="C68" s="12" t="s">
        <v>9</v>
      </c>
      <c r="D68" s="17">
        <v>0</v>
      </c>
      <c r="E68" s="201"/>
      <c r="F68" s="240">
        <f t="shared" si="5"/>
        <v>0</v>
      </c>
    </row>
    <row r="69" spans="1:6" s="4" customFormat="1" ht="16" thickBot="1">
      <c r="A69" s="56"/>
      <c r="B69" s="53" t="s">
        <v>154</v>
      </c>
      <c r="C69" s="57"/>
      <c r="D69" s="58"/>
      <c r="E69" s="211"/>
      <c r="F69" s="241">
        <f>SUM(F67:F68)</f>
        <v>0</v>
      </c>
    </row>
    <row r="70" spans="1:6" s="4" customFormat="1">
      <c r="A70" s="41"/>
      <c r="B70" s="42"/>
      <c r="C70" s="25"/>
      <c r="D70" s="17"/>
      <c r="E70" s="207"/>
      <c r="F70" s="240"/>
    </row>
    <row r="71" spans="1:6" s="4" customFormat="1">
      <c r="A71" s="87" t="s">
        <v>41</v>
      </c>
      <c r="B71" s="92" t="s">
        <v>42</v>
      </c>
      <c r="C71" s="88"/>
      <c r="D71" s="89"/>
      <c r="E71" s="209"/>
      <c r="F71" s="243"/>
    </row>
    <row r="72" spans="1:6" s="4" customFormat="1">
      <c r="A72" s="26"/>
      <c r="B72" s="42"/>
      <c r="C72" s="12"/>
      <c r="D72" s="17"/>
      <c r="E72" s="201"/>
      <c r="F72" s="240"/>
    </row>
    <row r="73" spans="1:6" s="4" customFormat="1">
      <c r="A73" s="28" t="s">
        <v>123</v>
      </c>
      <c r="B73" s="42" t="s">
        <v>161</v>
      </c>
      <c r="C73" s="12"/>
      <c r="D73" s="17"/>
      <c r="E73" s="201"/>
      <c r="F73" s="240"/>
    </row>
    <row r="74" spans="1:6" s="4" customFormat="1">
      <c r="A74" s="28" t="s">
        <v>124</v>
      </c>
      <c r="B74" s="29" t="s">
        <v>455</v>
      </c>
      <c r="C74" s="12" t="s">
        <v>4</v>
      </c>
      <c r="D74" s="17">
        <f>31.87*12*0</f>
        <v>0</v>
      </c>
      <c r="E74" s="201"/>
      <c r="F74" s="240">
        <f>D74*E74</f>
        <v>0</v>
      </c>
    </row>
    <row r="75" spans="1:6" s="4" customFormat="1">
      <c r="A75" s="28" t="s">
        <v>125</v>
      </c>
      <c r="B75" s="42" t="s">
        <v>126</v>
      </c>
      <c r="C75" s="12"/>
      <c r="D75" s="17"/>
      <c r="E75" s="201"/>
      <c r="F75" s="240"/>
    </row>
    <row r="76" spans="1:6" s="4" customFormat="1">
      <c r="A76" s="28" t="s">
        <v>127</v>
      </c>
      <c r="B76" s="29" t="s">
        <v>452</v>
      </c>
      <c r="C76" s="12" t="s">
        <v>7</v>
      </c>
      <c r="D76" s="17">
        <v>0</v>
      </c>
      <c r="E76" s="201"/>
      <c r="F76" s="240">
        <f t="shared" ref="F76:F78" si="6">D76*E76</f>
        <v>0</v>
      </c>
    </row>
    <row r="77" spans="1:6" s="4" customFormat="1">
      <c r="A77" s="28" t="s">
        <v>128</v>
      </c>
      <c r="B77" s="42" t="s">
        <v>130</v>
      </c>
      <c r="C77" s="22"/>
      <c r="D77" s="17"/>
      <c r="E77" s="205"/>
      <c r="F77" s="240"/>
    </row>
    <row r="78" spans="1:6" s="4" customFormat="1" ht="16" thickBot="1">
      <c r="A78" s="35" t="s">
        <v>129</v>
      </c>
      <c r="B78" s="29" t="s">
        <v>342</v>
      </c>
      <c r="C78" s="36" t="s">
        <v>4</v>
      </c>
      <c r="D78" s="17">
        <f>(31.87*2+24)*0.4*0</f>
        <v>0</v>
      </c>
      <c r="E78" s="212"/>
      <c r="F78" s="240">
        <f t="shared" si="6"/>
        <v>0</v>
      </c>
    </row>
    <row r="79" spans="1:6" s="4" customFormat="1" ht="16" thickBot="1">
      <c r="A79" s="56"/>
      <c r="B79" s="53" t="s">
        <v>157</v>
      </c>
      <c r="C79" s="54"/>
      <c r="D79" s="55"/>
      <c r="E79" s="206"/>
      <c r="F79" s="241">
        <f>SUM(F74:F78)</f>
        <v>0</v>
      </c>
    </row>
    <row r="80" spans="1:6" s="4" customFormat="1">
      <c r="A80" s="14"/>
      <c r="B80" s="43"/>
      <c r="C80" s="12"/>
      <c r="D80" s="17"/>
      <c r="E80" s="201"/>
      <c r="F80" s="240"/>
    </row>
    <row r="81" spans="1:6" s="4" customFormat="1">
      <c r="A81" s="93" t="s">
        <v>47</v>
      </c>
      <c r="B81" s="90" t="s">
        <v>48</v>
      </c>
      <c r="C81" s="88"/>
      <c r="D81" s="89"/>
      <c r="E81" s="209"/>
      <c r="F81" s="243"/>
    </row>
    <row r="82" spans="1:6" s="4" customFormat="1">
      <c r="A82" s="14"/>
      <c r="B82" s="43"/>
      <c r="C82" s="12"/>
      <c r="D82" s="17"/>
      <c r="E82" s="201"/>
      <c r="F82" s="240"/>
    </row>
    <row r="83" spans="1:6" s="4" customFormat="1">
      <c r="A83" s="16" t="s">
        <v>49</v>
      </c>
      <c r="B83" s="43" t="s">
        <v>51</v>
      </c>
      <c r="C83" s="12"/>
      <c r="D83" s="17"/>
      <c r="E83" s="201"/>
      <c r="F83" s="240"/>
    </row>
    <row r="84" spans="1:6" s="4" customFormat="1" ht="16" thickBot="1">
      <c r="A84" s="29" t="s">
        <v>50</v>
      </c>
      <c r="B84" s="44" t="s">
        <v>162</v>
      </c>
      <c r="C84" s="12" t="s">
        <v>131</v>
      </c>
      <c r="D84" s="17">
        <v>1</v>
      </c>
      <c r="E84" s="201"/>
      <c r="F84" s="240">
        <f>D84*E84</f>
        <v>0</v>
      </c>
    </row>
    <row r="85" spans="1:6" s="4" customFormat="1" ht="16" thickBot="1">
      <c r="A85" s="81"/>
      <c r="B85" s="82" t="s">
        <v>158</v>
      </c>
      <c r="C85" s="79"/>
      <c r="D85" s="78"/>
      <c r="E85" s="213"/>
      <c r="F85" s="245">
        <f>F84</f>
        <v>0</v>
      </c>
    </row>
    <row r="86" spans="1:6" s="4" customFormat="1">
      <c r="A86" s="41"/>
      <c r="B86" s="42"/>
      <c r="C86" s="45"/>
      <c r="D86" s="46"/>
      <c r="E86" s="207"/>
      <c r="F86" s="240"/>
    </row>
    <row r="87" spans="1:6" s="4" customFormat="1">
      <c r="A87" s="93" t="s">
        <v>53</v>
      </c>
      <c r="B87" s="94" t="s">
        <v>55</v>
      </c>
      <c r="C87" s="95"/>
      <c r="D87" s="96"/>
      <c r="E87" s="214"/>
      <c r="F87" s="243"/>
    </row>
    <row r="88" spans="1:6" s="4" customFormat="1">
      <c r="A88" s="14"/>
      <c r="B88" s="47"/>
      <c r="C88" s="22"/>
      <c r="D88" s="23"/>
      <c r="E88" s="205"/>
      <c r="F88" s="240"/>
    </row>
    <row r="89" spans="1:6" s="4" customFormat="1">
      <c r="A89" s="15" t="s">
        <v>324</v>
      </c>
      <c r="B89" s="47" t="s">
        <v>134</v>
      </c>
      <c r="C89" s="12"/>
      <c r="D89" s="17"/>
      <c r="E89" s="201"/>
      <c r="F89" s="240"/>
    </row>
    <row r="90" spans="1:6" s="4" customFormat="1">
      <c r="A90" s="15" t="s">
        <v>325</v>
      </c>
      <c r="B90" s="16" t="s">
        <v>343</v>
      </c>
      <c r="C90" s="12" t="s">
        <v>9</v>
      </c>
      <c r="D90" s="17">
        <v>3</v>
      </c>
      <c r="E90" s="201"/>
      <c r="F90" s="240">
        <f>D90*E90</f>
        <v>0</v>
      </c>
    </row>
    <row r="91" spans="1:6" s="4" customFormat="1">
      <c r="A91" s="15" t="s">
        <v>374</v>
      </c>
      <c r="B91" s="16" t="s">
        <v>355</v>
      </c>
      <c r="C91" s="12" t="s">
        <v>9</v>
      </c>
      <c r="D91" s="17">
        <v>2</v>
      </c>
      <c r="E91" s="201"/>
      <c r="F91" s="240">
        <f>D91*E91</f>
        <v>0</v>
      </c>
    </row>
    <row r="92" spans="1:6" s="4" customFormat="1">
      <c r="A92" s="15" t="s">
        <v>375</v>
      </c>
      <c r="B92" s="47" t="s">
        <v>135</v>
      </c>
      <c r="C92" s="12"/>
      <c r="D92" s="17"/>
      <c r="E92" s="201"/>
      <c r="F92" s="240"/>
    </row>
    <row r="93" spans="1:6" s="4" customFormat="1">
      <c r="A93" s="15" t="s">
        <v>376</v>
      </c>
      <c r="B93" s="16" t="s">
        <v>356</v>
      </c>
      <c r="C93" s="12" t="s">
        <v>9</v>
      </c>
      <c r="D93" s="17">
        <v>4</v>
      </c>
      <c r="E93" s="201"/>
      <c r="F93" s="240">
        <f t="shared" ref="F93" si="7">D93*E93</f>
        <v>0</v>
      </c>
    </row>
    <row r="94" spans="1:6" s="4" customFormat="1">
      <c r="A94" s="15" t="s">
        <v>377</v>
      </c>
      <c r="B94" s="47" t="s">
        <v>392</v>
      </c>
      <c r="C94" s="12"/>
      <c r="D94" s="17"/>
      <c r="E94" s="201"/>
      <c r="F94" s="240"/>
    </row>
    <row r="95" spans="1:6" s="4" customFormat="1" ht="16" thickBot="1">
      <c r="A95" s="15" t="s">
        <v>378</v>
      </c>
      <c r="B95" s="16" t="s">
        <v>391</v>
      </c>
      <c r="C95" s="12" t="s">
        <v>9</v>
      </c>
      <c r="D95" s="17">
        <v>2</v>
      </c>
      <c r="E95" s="201"/>
      <c r="F95" s="240">
        <f t="shared" ref="F95" si="8">D95*E95</f>
        <v>0</v>
      </c>
    </row>
    <row r="96" spans="1:6" s="4" customFormat="1" ht="16" thickBot="1">
      <c r="A96" s="81"/>
      <c r="B96" s="76" t="s">
        <v>159</v>
      </c>
      <c r="C96" s="77"/>
      <c r="D96" s="80"/>
      <c r="E96" s="215"/>
      <c r="F96" s="245">
        <f>SUM(F90:F95)</f>
        <v>0</v>
      </c>
    </row>
    <row r="97" spans="1:6" s="4" customFormat="1">
      <c r="A97" s="41"/>
      <c r="B97" s="42"/>
      <c r="C97" s="45"/>
      <c r="D97" s="46"/>
      <c r="E97" s="207"/>
      <c r="F97" s="240"/>
    </row>
    <row r="98" spans="1:6" s="4" customFormat="1">
      <c r="A98" s="93" t="s">
        <v>72</v>
      </c>
      <c r="B98" s="94" t="s">
        <v>389</v>
      </c>
      <c r="C98" s="95"/>
      <c r="D98" s="96"/>
      <c r="E98" s="214"/>
      <c r="F98" s="243"/>
    </row>
    <row r="99" spans="1:6" s="4" customFormat="1">
      <c r="A99" s="14"/>
      <c r="B99" s="47"/>
      <c r="C99" s="22"/>
      <c r="D99" s="23"/>
      <c r="E99" s="205"/>
      <c r="F99" s="240"/>
    </row>
    <row r="100" spans="1:6" s="4" customFormat="1">
      <c r="A100" s="15" t="s">
        <v>132</v>
      </c>
      <c r="B100" s="47" t="s">
        <v>393</v>
      </c>
      <c r="C100" s="12"/>
      <c r="D100" s="17"/>
      <c r="E100" s="201"/>
      <c r="F100" s="240"/>
    </row>
    <row r="101" spans="1:6" s="298" customFormat="1">
      <c r="A101" s="292" t="s">
        <v>163</v>
      </c>
      <c r="B101" s="48" t="s">
        <v>394</v>
      </c>
      <c r="C101" s="294" t="s">
        <v>9</v>
      </c>
      <c r="D101" s="295">
        <v>2</v>
      </c>
      <c r="E101" s="296"/>
      <c r="F101" s="297">
        <f>D101*E101</f>
        <v>0</v>
      </c>
    </row>
    <row r="102" spans="1:6" s="298" customFormat="1">
      <c r="A102" s="292" t="s">
        <v>163</v>
      </c>
      <c r="B102" s="299" t="s">
        <v>395</v>
      </c>
      <c r="C102" s="294" t="s">
        <v>7</v>
      </c>
      <c r="D102" s="295">
        <f>1.1*8</f>
        <v>8.8000000000000007</v>
      </c>
      <c r="E102" s="296"/>
      <c r="F102" s="297">
        <f>D102*E102</f>
        <v>0</v>
      </c>
    </row>
    <row r="103" spans="1:6" s="298" customFormat="1">
      <c r="A103" s="292" t="s">
        <v>133</v>
      </c>
      <c r="B103" s="293" t="s">
        <v>396</v>
      </c>
      <c r="C103" s="294"/>
      <c r="D103" s="295"/>
      <c r="E103" s="296"/>
      <c r="F103" s="297"/>
    </row>
    <row r="104" spans="1:6" s="298" customFormat="1" ht="16" thickBot="1">
      <c r="A104" s="292" t="s">
        <v>164</v>
      </c>
      <c r="B104" s="299" t="s">
        <v>397</v>
      </c>
      <c r="C104" s="294" t="s">
        <v>4</v>
      </c>
      <c r="D104" s="295">
        <f>1.5*1.1*2</f>
        <v>3.3000000000000003</v>
      </c>
      <c r="E104" s="296"/>
      <c r="F104" s="297">
        <f>D104*E104</f>
        <v>0</v>
      </c>
    </row>
    <row r="105" spans="1:6" s="4" customFormat="1" ht="16" thickBot="1">
      <c r="A105" s="81"/>
      <c r="B105" s="76" t="s">
        <v>390</v>
      </c>
      <c r="C105" s="77"/>
      <c r="D105" s="80"/>
      <c r="E105" s="215"/>
      <c r="F105" s="245">
        <f>SUM(F101:F104)</f>
        <v>0</v>
      </c>
    </row>
    <row r="106" spans="1:6" s="4" customFormat="1">
      <c r="A106" s="14"/>
      <c r="B106" s="11"/>
      <c r="C106" s="12"/>
      <c r="D106" s="17"/>
      <c r="E106" s="201"/>
      <c r="F106" s="240"/>
    </row>
    <row r="107" spans="1:6" s="4" customFormat="1">
      <c r="A107" s="93" t="s">
        <v>72</v>
      </c>
      <c r="B107" s="97" t="s">
        <v>11</v>
      </c>
      <c r="C107" s="88"/>
      <c r="D107" s="96"/>
      <c r="E107" s="214"/>
      <c r="F107" s="243"/>
    </row>
    <row r="108" spans="1:6" s="4" customFormat="1">
      <c r="A108" s="14"/>
      <c r="B108" s="11"/>
      <c r="C108" s="12"/>
      <c r="D108" s="23"/>
      <c r="E108" s="205"/>
      <c r="F108" s="240"/>
    </row>
    <row r="109" spans="1:6" s="30" customFormat="1">
      <c r="A109" s="15" t="s">
        <v>132</v>
      </c>
      <c r="B109" s="47" t="s">
        <v>137</v>
      </c>
      <c r="C109" s="49"/>
      <c r="D109" s="46"/>
      <c r="E109" s="216"/>
      <c r="F109" s="240"/>
    </row>
    <row r="110" spans="1:6" s="30" customFormat="1">
      <c r="A110" s="15" t="s">
        <v>163</v>
      </c>
      <c r="B110" s="48" t="s">
        <v>59</v>
      </c>
      <c r="C110" s="12" t="s">
        <v>4</v>
      </c>
      <c r="D110" s="17">
        <f>(30.27*2+9.88+7.23)*2-(3*1.46*2.2+3*1*2.2)</f>
        <v>139.06400000000002</v>
      </c>
      <c r="E110" s="201"/>
      <c r="F110" s="240">
        <f>D110*E110</f>
        <v>0</v>
      </c>
    </row>
    <row r="111" spans="1:6" s="30" customFormat="1" ht="31">
      <c r="A111" s="290" t="s">
        <v>379</v>
      </c>
      <c r="B111" s="48" t="s">
        <v>138</v>
      </c>
      <c r="C111" s="12" t="s">
        <v>4</v>
      </c>
      <c r="D111" s="17">
        <f>(30.27*2+9.88+7.23)*1.5</f>
        <v>116.47500000000001</v>
      </c>
      <c r="E111" s="201"/>
      <c r="F111" s="240">
        <f t="shared" ref="F111:F118" si="9">D111*E111</f>
        <v>0</v>
      </c>
    </row>
    <row r="112" spans="1:6" s="4" customFormat="1">
      <c r="A112" s="15" t="s">
        <v>133</v>
      </c>
      <c r="B112" s="47" t="s">
        <v>139</v>
      </c>
      <c r="C112" s="12"/>
      <c r="D112" s="17"/>
      <c r="E112" s="201"/>
      <c r="F112" s="240"/>
    </row>
    <row r="113" spans="1:6" s="4" customFormat="1">
      <c r="A113" s="15" t="s">
        <v>164</v>
      </c>
      <c r="B113" s="48" t="s">
        <v>60</v>
      </c>
      <c r="C113" s="12" t="s">
        <v>4</v>
      </c>
      <c r="D113" s="17">
        <f>(30.27*2+9.88+7.23*6)*3.5-(3*1.46*2.2+4*1*2.2)</f>
        <v>379.86400000000009</v>
      </c>
      <c r="E113" s="201"/>
      <c r="F113" s="240">
        <f t="shared" si="9"/>
        <v>0</v>
      </c>
    </row>
    <row r="114" spans="1:6" s="4" customFormat="1">
      <c r="A114" s="15" t="s">
        <v>381</v>
      </c>
      <c r="B114" s="47" t="s">
        <v>140</v>
      </c>
      <c r="C114" s="12"/>
      <c r="D114" s="17"/>
      <c r="E114" s="205"/>
      <c r="F114" s="240"/>
    </row>
    <row r="115" spans="1:6" s="4" customFormat="1" ht="28.5" customHeight="1">
      <c r="A115" s="291" t="s">
        <v>382</v>
      </c>
      <c r="B115" s="48" t="s">
        <v>141</v>
      </c>
      <c r="C115" s="12" t="s">
        <v>4</v>
      </c>
      <c r="D115" s="17">
        <f>2*(3*1.46*2.2+5*1*2.2)</f>
        <v>41.272000000000006</v>
      </c>
      <c r="E115" s="201"/>
      <c r="F115" s="240">
        <f t="shared" si="9"/>
        <v>0</v>
      </c>
    </row>
    <row r="116" spans="1:6" s="4" customFormat="1">
      <c r="A116" s="16" t="s">
        <v>380</v>
      </c>
      <c r="B116" s="47" t="s">
        <v>344</v>
      </c>
      <c r="C116" s="12"/>
      <c r="D116" s="17"/>
      <c r="E116" s="201"/>
      <c r="F116" s="240"/>
    </row>
    <row r="117" spans="1:6" s="4" customFormat="1">
      <c r="A117" s="16" t="s">
        <v>383</v>
      </c>
      <c r="B117" s="48" t="s">
        <v>388</v>
      </c>
      <c r="C117" s="12" t="s">
        <v>4</v>
      </c>
      <c r="D117" s="17">
        <f>6*1.4*3+4*3*1.4</f>
        <v>41.999999999999993</v>
      </c>
      <c r="E117" s="201"/>
      <c r="F117" s="240">
        <f t="shared" ref="F117" si="10">D117*E117</f>
        <v>0</v>
      </c>
    </row>
    <row r="118" spans="1:6" s="4" customFormat="1" ht="16" thickBot="1">
      <c r="A118" s="16" t="s">
        <v>384</v>
      </c>
      <c r="B118" s="48" t="s">
        <v>142</v>
      </c>
      <c r="C118" s="12" t="s">
        <v>4</v>
      </c>
      <c r="D118" s="17">
        <f>6*1.4*3+4*3*1.4</f>
        <v>41.999999999999993</v>
      </c>
      <c r="E118" s="201"/>
      <c r="F118" s="240">
        <f t="shared" si="9"/>
        <v>0</v>
      </c>
    </row>
    <row r="119" spans="1:6" s="4" customFormat="1" ht="16" thickBot="1">
      <c r="A119" s="75"/>
      <c r="B119" s="76" t="s">
        <v>160</v>
      </c>
      <c r="C119" s="77"/>
      <c r="D119" s="78"/>
      <c r="E119" s="79"/>
      <c r="F119" s="245">
        <f>SUM(F109:F118)</f>
        <v>0</v>
      </c>
    </row>
    <row r="120" spans="1:6" s="40" customFormat="1" ht="16" thickBot="1">
      <c r="A120" s="189"/>
      <c r="B120" s="190"/>
      <c r="C120" s="191"/>
      <c r="D120" s="192"/>
      <c r="E120" s="193"/>
      <c r="F120" s="246"/>
    </row>
    <row r="121" spans="1:6" s="4" customFormat="1" ht="16" thickBot="1">
      <c r="A121" s="59"/>
      <c r="B121" s="60" t="s">
        <v>285</v>
      </c>
      <c r="C121" s="61"/>
      <c r="D121" s="62"/>
      <c r="E121" s="63"/>
      <c r="F121" s="247">
        <f>F14+F62+F69+F79+F85+F96+F105+F119</f>
        <v>0</v>
      </c>
    </row>
    <row r="122" spans="1:6" s="40" customFormat="1" ht="16" thickBot="1">
      <c r="A122" s="189"/>
      <c r="B122" s="190"/>
      <c r="C122" s="191"/>
      <c r="D122" s="192"/>
      <c r="E122" s="193"/>
      <c r="F122" s="246"/>
    </row>
    <row r="123" spans="1:6" s="4" customFormat="1" ht="18.5" thickBot="1">
      <c r="A123" s="59"/>
      <c r="B123" s="300" t="s">
        <v>345</v>
      </c>
      <c r="C123" s="61"/>
      <c r="D123" s="194">
        <v>0.15</v>
      </c>
      <c r="E123" s="63"/>
      <c r="F123" s="248">
        <f>F121*D123</f>
        <v>0</v>
      </c>
    </row>
    <row r="124" spans="1:6" s="40" customFormat="1" ht="16" thickBot="1">
      <c r="A124" s="31"/>
      <c r="B124" s="244"/>
      <c r="C124" s="249"/>
      <c r="D124" s="250"/>
      <c r="E124" s="251"/>
      <c r="F124" s="252"/>
    </row>
    <row r="125" spans="1:6" s="4" customFormat="1" ht="16" thickBot="1">
      <c r="A125" s="59"/>
      <c r="B125" s="60" t="s">
        <v>346</v>
      </c>
      <c r="C125" s="61"/>
      <c r="D125" s="62"/>
      <c r="E125" s="63"/>
      <c r="F125" s="248">
        <f>F121+F123</f>
        <v>0</v>
      </c>
    </row>
    <row r="126" spans="1:6" s="40" customFormat="1">
      <c r="A126" s="31"/>
      <c r="B126" s="244"/>
      <c r="C126" s="249"/>
      <c r="D126" s="250"/>
      <c r="E126" s="251"/>
      <c r="F126" s="252"/>
    </row>
  </sheetData>
  <sheetProtection selectLockedCells="1"/>
  <mergeCells count="2">
    <mergeCell ref="B4:C4"/>
    <mergeCell ref="A5:F5"/>
  </mergeCells>
  <phoneticPr fontId="35" type="noConversion"/>
  <pageMargins left="0.7" right="0.7" top="0.75" bottom="0.75" header="0.3" footer="0.3"/>
  <pageSetup paperSize="9" scale="53" fitToHeight="4" orientation="portrait" r:id="rId1"/>
  <rowBreaks count="1" manualBreakCount="1">
    <brk id="79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DE78-56DB-4F05-BF45-09AAFA97B4A8}">
  <dimension ref="A1:G116"/>
  <sheetViews>
    <sheetView showGridLines="0" view="pageBreakPreview" topLeftCell="A60" zoomScale="90" zoomScaleSheetLayoutView="90" workbookViewId="0">
      <selection activeCell="D70" sqref="D70"/>
    </sheetView>
  </sheetViews>
  <sheetFormatPr baseColWidth="10" defaultColWidth="11.453125" defaultRowHeight="15.5"/>
  <cols>
    <col min="1" max="1" width="10" style="232" customWidth="1"/>
    <col min="2" max="2" width="65.6328125" style="232" customWidth="1"/>
    <col min="3" max="3" width="8.1796875" style="2" customWidth="1"/>
    <col min="4" max="4" width="10.54296875" style="3" customWidth="1"/>
    <col min="5" max="5" width="12.54296875" style="3" customWidth="1"/>
    <col min="6" max="6" width="14.81640625" style="3" customWidth="1"/>
    <col min="7" max="16384" width="11.453125" style="2"/>
  </cols>
  <sheetData>
    <row r="1" spans="1:7" ht="29.5" customHeight="1"/>
    <row r="2" spans="1:7" ht="27.65" customHeight="1"/>
    <row r="3" spans="1:7" ht="23" customHeight="1">
      <c r="A3" s="1"/>
      <c r="B3" s="1"/>
    </row>
    <row r="4" spans="1:7" s="4" customFormat="1" ht="13" thickBot="1">
      <c r="B4" s="403"/>
      <c r="C4" s="403"/>
      <c r="D4" s="5"/>
      <c r="E4" s="229"/>
      <c r="F4" s="229"/>
    </row>
    <row r="5" spans="1:7" s="4" customFormat="1" ht="23" customHeight="1" thickBot="1">
      <c r="A5" s="404" t="s">
        <v>446</v>
      </c>
      <c r="B5" s="405"/>
      <c r="C5" s="405"/>
      <c r="D5" s="405"/>
      <c r="E5" s="405"/>
      <c r="F5" s="406"/>
    </row>
    <row r="6" spans="1:7" s="4" customFormat="1" ht="13.25" customHeight="1" thickBot="1">
      <c r="B6" s="7"/>
      <c r="C6" s="7"/>
      <c r="D6" s="8"/>
      <c r="E6" s="9"/>
      <c r="F6" s="9"/>
    </row>
    <row r="7" spans="1:7" s="339" customFormat="1" ht="33" customHeight="1" thickBot="1">
      <c r="A7" s="345" t="s">
        <v>424</v>
      </c>
      <c r="B7" s="344" t="s">
        <v>70</v>
      </c>
      <c r="C7" s="341" t="s">
        <v>75</v>
      </c>
      <c r="D7" s="343" t="s">
        <v>76</v>
      </c>
      <c r="E7" s="342" t="s">
        <v>77</v>
      </c>
      <c r="F7" s="341" t="s">
        <v>78</v>
      </c>
      <c r="G7" s="340"/>
    </row>
    <row r="8" spans="1:7" s="10" customFormat="1" ht="14.5" customHeight="1">
      <c r="A8" s="66"/>
      <c r="B8" s="65"/>
      <c r="C8" s="6"/>
      <c r="D8" s="64"/>
      <c r="E8" s="198"/>
      <c r="F8" s="6"/>
      <c r="G8" s="338"/>
    </row>
    <row r="9" spans="1:7" s="4" customFormat="1">
      <c r="A9" s="67" t="s">
        <v>147</v>
      </c>
      <c r="B9" s="68" t="s">
        <v>146</v>
      </c>
      <c r="C9" s="69"/>
      <c r="D9" s="70"/>
      <c r="E9" s="199"/>
      <c r="F9" s="337"/>
    </row>
    <row r="10" spans="1:7" s="4" customFormat="1" ht="14" customHeight="1">
      <c r="A10" s="98"/>
      <c r="B10" s="99"/>
      <c r="C10" s="32"/>
      <c r="D10" s="33"/>
      <c r="E10" s="200"/>
      <c r="F10" s="331"/>
    </row>
    <row r="11" spans="1:7" s="4" customFormat="1" ht="16.25" customHeight="1">
      <c r="A11" s="100" t="s">
        <v>68</v>
      </c>
      <c r="B11" s="101" t="s">
        <v>423</v>
      </c>
      <c r="C11" s="32" t="s">
        <v>176</v>
      </c>
      <c r="D11" s="33">
        <v>0</v>
      </c>
      <c r="E11" s="200"/>
      <c r="F11" s="327">
        <f>D11*E11</f>
        <v>0</v>
      </c>
    </row>
    <row r="12" spans="1:7" s="4" customFormat="1" ht="16.25" customHeight="1">
      <c r="A12" s="100" t="s">
        <v>68</v>
      </c>
      <c r="B12" s="101" t="s">
        <v>447</v>
      </c>
      <c r="C12" s="32" t="s">
        <v>398</v>
      </c>
      <c r="D12" s="33">
        <v>1</v>
      </c>
      <c r="E12" s="200"/>
      <c r="F12" s="327">
        <f>D12*E12</f>
        <v>0</v>
      </c>
    </row>
    <row r="13" spans="1:7" s="4" customFormat="1" ht="15.65" customHeight="1">
      <c r="A13" s="15" t="s">
        <v>5</v>
      </c>
      <c r="B13" s="16" t="s">
        <v>175</v>
      </c>
      <c r="C13" s="12" t="s">
        <v>176</v>
      </c>
      <c r="D13" s="17">
        <v>0</v>
      </c>
      <c r="E13" s="201"/>
      <c r="F13" s="327">
        <f>D13*E13</f>
        <v>0</v>
      </c>
    </row>
    <row r="14" spans="1:7" s="4" customFormat="1" ht="17.5" customHeight="1" thickBot="1">
      <c r="A14" s="15" t="s">
        <v>69</v>
      </c>
      <c r="B14" s="16" t="s">
        <v>174</v>
      </c>
      <c r="C14" s="12" t="s">
        <v>176</v>
      </c>
      <c r="D14" s="17">
        <v>1</v>
      </c>
      <c r="E14" s="200"/>
      <c r="F14" s="327">
        <f>D14*E14</f>
        <v>0</v>
      </c>
    </row>
    <row r="15" spans="1:7" s="4" customFormat="1" ht="16" thickBot="1">
      <c r="A15" s="52"/>
      <c r="B15" s="53" t="s">
        <v>155</v>
      </c>
      <c r="C15" s="54"/>
      <c r="D15" s="55"/>
      <c r="E15" s="202"/>
      <c r="F15" s="330">
        <f>SUM(F12:F14)</f>
        <v>0</v>
      </c>
    </row>
    <row r="16" spans="1:7" s="4" customFormat="1">
      <c r="B16" s="71"/>
      <c r="C16" s="22"/>
      <c r="D16" s="23"/>
      <c r="E16" s="203"/>
      <c r="F16" s="327"/>
    </row>
    <row r="17" spans="1:6" s="4" customFormat="1">
      <c r="A17" s="67" t="s">
        <v>14</v>
      </c>
      <c r="B17" s="72" t="s">
        <v>148</v>
      </c>
      <c r="C17" s="73"/>
      <c r="D17" s="74"/>
      <c r="E17" s="204"/>
      <c r="F17" s="337"/>
    </row>
    <row r="18" spans="1:6" s="40" customFormat="1">
      <c r="A18" s="98"/>
      <c r="B18" s="336"/>
      <c r="C18" s="335"/>
      <c r="D18" s="334"/>
      <c r="E18" s="333"/>
      <c r="F18" s="331"/>
    </row>
    <row r="19" spans="1:6" s="4" customFormat="1">
      <c r="A19" s="14"/>
      <c r="B19" s="16" t="s">
        <v>80</v>
      </c>
      <c r="C19" s="22"/>
      <c r="D19" s="23"/>
      <c r="E19" s="205"/>
      <c r="F19" s="327"/>
    </row>
    <row r="20" spans="1:6" s="4" customFormat="1">
      <c r="A20" s="15" t="s">
        <v>79</v>
      </c>
      <c r="B20" s="16" t="s">
        <v>347</v>
      </c>
      <c r="C20" s="12" t="s">
        <v>7</v>
      </c>
      <c r="D20" s="50">
        <f>(26.7*3+9.88*2+7.23*2)</f>
        <v>114.32</v>
      </c>
      <c r="E20" s="201"/>
      <c r="F20" s="327"/>
    </row>
    <row r="21" spans="1:6" s="4" customFormat="1">
      <c r="A21" s="15" t="s">
        <v>81</v>
      </c>
      <c r="B21" s="16" t="s">
        <v>339</v>
      </c>
      <c r="C21" s="12" t="s">
        <v>10</v>
      </c>
      <c r="D21" s="50">
        <f>(26.7*3+9.88*2+7.23*2)*0.85*0.6</f>
        <v>58.303199999999997</v>
      </c>
      <c r="E21" s="201"/>
      <c r="F21" s="327">
        <f>D21*E21</f>
        <v>0</v>
      </c>
    </row>
    <row r="22" spans="1:6" s="4" customFormat="1" ht="17.5" customHeight="1">
      <c r="A22" s="15" t="s">
        <v>82</v>
      </c>
      <c r="B22" s="16" t="s">
        <v>83</v>
      </c>
      <c r="C22" s="12" t="s">
        <v>10</v>
      </c>
      <c r="D22" s="50">
        <f>(26.7*3+9.88*2+7.23*2)*0.65*0.45</f>
        <v>33.438600000000001</v>
      </c>
      <c r="E22" s="201"/>
      <c r="F22" s="327">
        <f>D22*E22</f>
        <v>0</v>
      </c>
    </row>
    <row r="23" spans="1:6" s="4" customFormat="1" ht="17.5" customHeight="1" thickBot="1">
      <c r="A23" s="15" t="s">
        <v>84</v>
      </c>
      <c r="B23" s="16" t="s">
        <v>85</v>
      </c>
      <c r="C23" s="12" t="s">
        <v>10</v>
      </c>
      <c r="D23" s="50">
        <f>26.27*9.88*0.88</f>
        <v>228.40188799999999</v>
      </c>
      <c r="E23" s="201"/>
      <c r="F23" s="327">
        <f>D23*E23</f>
        <v>0</v>
      </c>
    </row>
    <row r="24" spans="1:6" s="4" customFormat="1" ht="17.5" customHeight="1" thickBot="1">
      <c r="A24" s="18"/>
      <c r="B24" s="268" t="s">
        <v>156</v>
      </c>
      <c r="C24" s="19"/>
      <c r="D24" s="20"/>
      <c r="E24" s="208"/>
      <c r="F24" s="332">
        <f>SUM(F21:F23)</f>
        <v>0</v>
      </c>
    </row>
    <row r="25" spans="1:6" s="4" customFormat="1" ht="17.5" customHeight="1">
      <c r="A25" s="24" t="s">
        <v>16</v>
      </c>
      <c r="B25" s="84" t="s">
        <v>173</v>
      </c>
      <c r="C25" s="25"/>
      <c r="D25" s="13"/>
      <c r="E25" s="207"/>
      <c r="F25" s="327"/>
    </row>
    <row r="26" spans="1:6" s="4" customFormat="1" ht="17.5" customHeight="1">
      <c r="A26" s="28" t="s">
        <v>17</v>
      </c>
      <c r="B26" s="27" t="s">
        <v>172</v>
      </c>
      <c r="C26" s="12"/>
      <c r="D26" s="17"/>
      <c r="E26" s="201"/>
      <c r="F26" s="327"/>
    </row>
    <row r="27" spans="1:6" s="4" customFormat="1" ht="17.5" customHeight="1">
      <c r="A27" s="28" t="s">
        <v>86</v>
      </c>
      <c r="B27" s="29" t="s">
        <v>87</v>
      </c>
      <c r="C27" s="12" t="s">
        <v>10</v>
      </c>
      <c r="D27" s="17">
        <f>D20*0.6*0.05</f>
        <v>3.4296000000000002</v>
      </c>
      <c r="E27" s="201"/>
      <c r="F27" s="327">
        <f t="shared" ref="F27:F33" si="0">D27*E27</f>
        <v>0</v>
      </c>
    </row>
    <row r="28" spans="1:6" s="4" customFormat="1" ht="17.5" customHeight="1">
      <c r="A28" s="28" t="s">
        <v>88</v>
      </c>
      <c r="B28" s="29" t="s">
        <v>178</v>
      </c>
      <c r="C28" s="12" t="s">
        <v>10</v>
      </c>
      <c r="D28" s="17">
        <f>D20*0.6*0.1</f>
        <v>6.8592000000000004</v>
      </c>
      <c r="E28" s="201"/>
      <c r="F28" s="327">
        <f t="shared" si="0"/>
        <v>0</v>
      </c>
    </row>
    <row r="29" spans="1:6" s="4" customFormat="1" ht="17.5" customHeight="1">
      <c r="A29" s="28" t="s">
        <v>89</v>
      </c>
      <c r="B29" s="29" t="s">
        <v>360</v>
      </c>
      <c r="C29" s="12" t="s">
        <v>10</v>
      </c>
      <c r="D29" s="17">
        <f>16*0.15*0.15*1+30*0.15*0.2*1+10*0.2*0.2*1</f>
        <v>1.6600000000000001</v>
      </c>
      <c r="E29" s="201"/>
      <c r="F29" s="327">
        <f t="shared" si="0"/>
        <v>0</v>
      </c>
    </row>
    <row r="30" spans="1:6" s="4" customFormat="1" ht="17.5" customHeight="1">
      <c r="A30" s="28" t="s">
        <v>90</v>
      </c>
      <c r="B30" s="29" t="s">
        <v>361</v>
      </c>
      <c r="C30" s="12" t="s">
        <v>10</v>
      </c>
      <c r="D30" s="17">
        <f>D20*0.2*0.15</f>
        <v>3.4296000000000002</v>
      </c>
      <c r="E30" s="201"/>
      <c r="F30" s="327">
        <f t="shared" si="0"/>
        <v>0</v>
      </c>
    </row>
    <row r="31" spans="1:6" s="4" customFormat="1">
      <c r="A31" s="28" t="s">
        <v>91</v>
      </c>
      <c r="B31" s="29" t="s">
        <v>180</v>
      </c>
      <c r="C31" s="12" t="s">
        <v>4</v>
      </c>
      <c r="D31" s="17">
        <f>D20*1.05</f>
        <v>120.036</v>
      </c>
      <c r="E31" s="201"/>
      <c r="F31" s="327">
        <f t="shared" si="0"/>
        <v>0</v>
      </c>
    </row>
    <row r="32" spans="1:6" s="4" customFormat="1">
      <c r="A32" s="28" t="s">
        <v>92</v>
      </c>
      <c r="B32" s="29" t="s">
        <v>357</v>
      </c>
      <c r="C32" s="32" t="s">
        <v>10</v>
      </c>
      <c r="D32" s="33">
        <f>26.47*9.88*0.1</f>
        <v>26.152360000000002</v>
      </c>
      <c r="E32" s="200"/>
      <c r="F32" s="327">
        <f t="shared" si="0"/>
        <v>0</v>
      </c>
    </row>
    <row r="33" spans="1:6" s="4" customFormat="1">
      <c r="A33" s="28"/>
      <c r="B33" s="29" t="s">
        <v>93</v>
      </c>
      <c r="C33" s="12" t="s">
        <v>4</v>
      </c>
      <c r="D33" s="17">
        <f>26.47*9.88</f>
        <v>261.52359999999999</v>
      </c>
      <c r="E33" s="201"/>
      <c r="F33" s="327">
        <f t="shared" si="0"/>
        <v>0</v>
      </c>
    </row>
    <row r="34" spans="1:6" s="4" customFormat="1">
      <c r="A34" s="28" t="s">
        <v>94</v>
      </c>
      <c r="B34" s="29" t="s">
        <v>95</v>
      </c>
      <c r="C34" s="12"/>
      <c r="D34" s="17"/>
      <c r="E34" s="201"/>
      <c r="F34" s="327"/>
    </row>
    <row r="35" spans="1:6" s="4" customFormat="1" ht="46.5">
      <c r="A35" s="28"/>
      <c r="B35" s="34" t="s">
        <v>352</v>
      </c>
      <c r="C35" s="12" t="s">
        <v>4</v>
      </c>
      <c r="D35" s="17">
        <f>26.7*0.44*4*2</f>
        <v>93.983999999999995</v>
      </c>
      <c r="E35" s="201"/>
      <c r="F35" s="327">
        <f>D35*E35</f>
        <v>0</v>
      </c>
    </row>
    <row r="36" spans="1:6" s="4" customFormat="1">
      <c r="A36" s="28"/>
      <c r="B36" s="31" t="s">
        <v>96</v>
      </c>
      <c r="C36" s="12" t="s">
        <v>10</v>
      </c>
      <c r="D36" s="17">
        <f>26.7*0.4*0.4*2</f>
        <v>8.5440000000000005</v>
      </c>
      <c r="E36" s="201"/>
      <c r="F36" s="327">
        <f>D36*E36</f>
        <v>0</v>
      </c>
    </row>
    <row r="37" spans="1:6" s="4" customFormat="1">
      <c r="A37" s="28"/>
      <c r="B37" s="31" t="s">
        <v>97</v>
      </c>
      <c r="C37" s="12" t="s">
        <v>10</v>
      </c>
      <c r="D37" s="17">
        <f>26.7*0.4*0.1*2</f>
        <v>2.1360000000000001</v>
      </c>
      <c r="E37" s="201"/>
      <c r="F37" s="327">
        <f>D37*E37</f>
        <v>0</v>
      </c>
    </row>
    <row r="38" spans="1:6" s="4" customFormat="1">
      <c r="A38" s="28" t="s">
        <v>24</v>
      </c>
      <c r="B38" s="83" t="s">
        <v>149</v>
      </c>
      <c r="C38" s="22"/>
      <c r="D38" s="17"/>
      <c r="E38" s="205"/>
      <c r="F38" s="327"/>
    </row>
    <row r="39" spans="1:6" s="4" customFormat="1">
      <c r="A39" s="28" t="s">
        <v>26</v>
      </c>
      <c r="B39" s="29" t="s">
        <v>422</v>
      </c>
      <c r="C39" s="12" t="s">
        <v>4</v>
      </c>
      <c r="D39" s="17">
        <f>3*(26.7*2+7.23*4)-3*(3*1.8*1.8+2.8*1.8+1.25*1.8+3*0.9*2.2+1.4*2.2)+4*(12*1.62/2)</f>
        <v>207.74999999999997</v>
      </c>
      <c r="E39" s="201"/>
      <c r="F39" s="327">
        <f>D39*E39</f>
        <v>0</v>
      </c>
    </row>
    <row r="40" spans="1:6" s="4" customFormat="1">
      <c r="A40" s="28" t="s">
        <v>371</v>
      </c>
      <c r="B40" s="29" t="s">
        <v>98</v>
      </c>
      <c r="C40" s="12" t="s">
        <v>10</v>
      </c>
      <c r="D40" s="17">
        <f>16*0.15*0.15*3.5+30*0.2*0.15*3.5+3.5*0.2*0.2</f>
        <v>4.5499999999999989</v>
      </c>
      <c r="E40" s="201"/>
      <c r="F40" s="327">
        <f>D40*E40</f>
        <v>0</v>
      </c>
    </row>
    <row r="41" spans="1:6" s="4" customFormat="1">
      <c r="A41" s="28" t="s">
        <v>150</v>
      </c>
      <c r="B41" s="29" t="s">
        <v>99</v>
      </c>
      <c r="C41" s="12" t="s">
        <v>10</v>
      </c>
      <c r="D41" s="17">
        <f>D30+(1*0.2*0.15+1.46*0.2*0.15)*3</f>
        <v>3.6510000000000002</v>
      </c>
      <c r="E41" s="201"/>
      <c r="F41" s="327">
        <f>D41*E41</f>
        <v>0</v>
      </c>
    </row>
    <row r="42" spans="1:6" s="4" customFormat="1">
      <c r="A42" s="28" t="s">
        <v>372</v>
      </c>
      <c r="B42" s="29" t="s">
        <v>102</v>
      </c>
      <c r="C42" s="12" t="s">
        <v>10</v>
      </c>
      <c r="D42" s="17">
        <f>4*12*0.2*0.1</f>
        <v>0.96000000000000019</v>
      </c>
      <c r="E42" s="201"/>
      <c r="F42" s="327">
        <f>D42*E42</f>
        <v>0</v>
      </c>
    </row>
    <row r="43" spans="1:6" s="4" customFormat="1">
      <c r="A43" s="28" t="s">
        <v>101</v>
      </c>
      <c r="B43" s="29" t="s">
        <v>33</v>
      </c>
      <c r="C43" s="12"/>
      <c r="D43" s="17"/>
      <c r="E43" s="201"/>
      <c r="F43" s="327"/>
    </row>
    <row r="44" spans="1:6" s="4" customFormat="1">
      <c r="A44" s="28"/>
      <c r="B44" s="29" t="s">
        <v>177</v>
      </c>
      <c r="C44" s="12" t="s">
        <v>4</v>
      </c>
      <c r="D44" s="17">
        <f>(26.7*2+7.23*2)*3+9.72*2-D47-4*0.9*2.2+3*1.4+6*(12*1.6/2)</f>
        <v>225.87</v>
      </c>
      <c r="E44" s="201"/>
      <c r="F44" s="327">
        <f>D44*E44</f>
        <v>0</v>
      </c>
    </row>
    <row r="45" spans="1:6" s="4" customFormat="1">
      <c r="A45" s="28"/>
      <c r="B45" s="29" t="s">
        <v>179</v>
      </c>
      <c r="C45" s="12" t="s">
        <v>4</v>
      </c>
      <c r="D45" s="17">
        <f>3*(26.7*2+7.23*6+3.5)-D44-4*1*2.2+3*1.4*2.2+6*(12*1.6/2)</f>
        <v>133.01000000000005</v>
      </c>
      <c r="E45" s="201"/>
      <c r="F45" s="327">
        <f>D45*E45</f>
        <v>0</v>
      </c>
    </row>
    <row r="46" spans="1:6" s="4" customFormat="1">
      <c r="A46" s="28" t="s">
        <v>28</v>
      </c>
      <c r="B46" s="29" t="s">
        <v>103</v>
      </c>
      <c r="C46" s="12"/>
      <c r="D46" s="17"/>
      <c r="E46" s="201"/>
      <c r="F46" s="327"/>
    </row>
    <row r="47" spans="1:6" s="4" customFormat="1" ht="31">
      <c r="A47" s="28" t="s">
        <v>29</v>
      </c>
      <c r="B47" s="51" t="s">
        <v>143</v>
      </c>
      <c r="C47" s="12" t="s">
        <v>104</v>
      </c>
      <c r="D47" s="17">
        <f>3*3*1.8*1.8+3*2.8*1.8+3*1.25*1.8</f>
        <v>51.03</v>
      </c>
      <c r="E47" s="201"/>
      <c r="F47" s="327">
        <f>D47*E47</f>
        <v>0</v>
      </c>
    </row>
    <row r="48" spans="1:6" s="4" customFormat="1">
      <c r="A48" s="28" t="s">
        <v>6</v>
      </c>
      <c r="B48" s="83" t="s">
        <v>34</v>
      </c>
      <c r="C48" s="12"/>
      <c r="D48" s="17"/>
      <c r="E48" s="201"/>
      <c r="F48" s="327"/>
    </row>
    <row r="49" spans="1:6" s="4" customFormat="1" ht="32.25" customHeight="1">
      <c r="A49" s="28" t="s">
        <v>30</v>
      </c>
      <c r="B49" s="51" t="s">
        <v>421</v>
      </c>
      <c r="C49" s="12" t="s">
        <v>9</v>
      </c>
      <c r="D49" s="17">
        <v>3</v>
      </c>
      <c r="E49" s="201"/>
      <c r="F49" s="327">
        <f>D49*E49</f>
        <v>0</v>
      </c>
    </row>
    <row r="50" spans="1:6" s="4" customFormat="1" ht="36" customHeight="1">
      <c r="A50" s="28" t="s">
        <v>30</v>
      </c>
      <c r="B50" s="51" t="s">
        <v>421</v>
      </c>
      <c r="C50" s="12" t="s">
        <v>9</v>
      </c>
      <c r="D50" s="17">
        <v>3</v>
      </c>
      <c r="E50" s="201"/>
      <c r="F50" s="327">
        <f>D50*E50</f>
        <v>0</v>
      </c>
    </row>
    <row r="51" spans="1:6" s="4" customFormat="1" ht="21.75" customHeight="1">
      <c r="A51" s="28" t="s">
        <v>31</v>
      </c>
      <c r="B51" s="29" t="s">
        <v>152</v>
      </c>
      <c r="C51" s="12" t="s">
        <v>9</v>
      </c>
      <c r="D51" s="17">
        <v>3</v>
      </c>
      <c r="E51" s="201"/>
      <c r="F51" s="327">
        <f>D51*E51</f>
        <v>0</v>
      </c>
    </row>
    <row r="52" spans="1:6" s="4" customFormat="1">
      <c r="A52" s="28" t="s">
        <v>108</v>
      </c>
      <c r="B52" s="27" t="s">
        <v>36</v>
      </c>
      <c r="C52" s="12"/>
      <c r="D52" s="17"/>
      <c r="E52" s="201"/>
      <c r="F52" s="327"/>
    </row>
    <row r="53" spans="1:6" s="4" customFormat="1">
      <c r="A53" s="28" t="s">
        <v>109</v>
      </c>
      <c r="B53" s="29" t="s">
        <v>105</v>
      </c>
      <c r="C53" s="12" t="s">
        <v>10</v>
      </c>
      <c r="D53" s="17">
        <f>1*1.5*0.3</f>
        <v>0.44999999999999996</v>
      </c>
      <c r="E53" s="201"/>
      <c r="F53" s="327">
        <f t="shared" ref="F53:F58" si="1">D53*E53</f>
        <v>0</v>
      </c>
    </row>
    <row r="54" spans="1:6" s="4" customFormat="1">
      <c r="A54" s="28" t="s">
        <v>110</v>
      </c>
      <c r="B54" s="16" t="s">
        <v>107</v>
      </c>
      <c r="C54" s="12" t="s">
        <v>10</v>
      </c>
      <c r="D54" s="17">
        <f>1*1.5*0.2</f>
        <v>0.30000000000000004</v>
      </c>
      <c r="E54" s="201"/>
      <c r="F54" s="327">
        <f t="shared" si="1"/>
        <v>0</v>
      </c>
    </row>
    <row r="55" spans="1:6" s="4" customFormat="1">
      <c r="A55" s="28" t="s">
        <v>111</v>
      </c>
      <c r="B55" s="29" t="s">
        <v>87</v>
      </c>
      <c r="C55" s="12" t="s">
        <v>10</v>
      </c>
      <c r="D55" s="17">
        <f>1*1.5*0.05</f>
        <v>7.5000000000000011E-2</v>
      </c>
      <c r="E55" s="201"/>
      <c r="F55" s="327">
        <f t="shared" si="1"/>
        <v>0</v>
      </c>
    </row>
    <row r="56" spans="1:6" s="4" customFormat="1">
      <c r="A56" s="28" t="s">
        <v>151</v>
      </c>
      <c r="B56" s="29" t="s">
        <v>106</v>
      </c>
      <c r="C56" s="12" t="s">
        <v>4</v>
      </c>
      <c r="D56" s="17">
        <f>2.5*2*0.44</f>
        <v>2.2000000000000002</v>
      </c>
      <c r="E56" s="201"/>
      <c r="F56" s="327">
        <f t="shared" si="1"/>
        <v>0</v>
      </c>
    </row>
    <row r="57" spans="1:6" s="4" customFormat="1">
      <c r="A57" s="28"/>
      <c r="B57" s="29" t="s">
        <v>20</v>
      </c>
      <c r="C57" s="12" t="s">
        <v>10</v>
      </c>
      <c r="D57" s="17">
        <f>1*1.5*0.15</f>
        <v>0.22499999999999998</v>
      </c>
      <c r="E57" s="201"/>
      <c r="F57" s="327">
        <f t="shared" si="1"/>
        <v>0</v>
      </c>
    </row>
    <row r="58" spans="1:6" s="4" customFormat="1">
      <c r="A58" s="28"/>
      <c r="B58" s="29" t="s">
        <v>61</v>
      </c>
      <c r="C58" s="12" t="s">
        <v>23</v>
      </c>
      <c r="D58" s="17">
        <f>D57*70</f>
        <v>15.749999999999998</v>
      </c>
      <c r="E58" s="201"/>
      <c r="F58" s="327">
        <f t="shared" si="1"/>
        <v>0</v>
      </c>
    </row>
    <row r="59" spans="1:6" s="4" customFormat="1">
      <c r="A59" s="28" t="s">
        <v>112</v>
      </c>
      <c r="B59" s="27" t="s">
        <v>114</v>
      </c>
      <c r="C59" s="12"/>
      <c r="D59" s="17"/>
      <c r="E59" s="201"/>
      <c r="F59" s="327"/>
    </row>
    <row r="60" spans="1:6" s="4" customFormat="1">
      <c r="A60" s="28" t="s">
        <v>113</v>
      </c>
      <c r="B60" s="85" t="s">
        <v>387</v>
      </c>
      <c r="C60" s="12" t="s">
        <v>9</v>
      </c>
      <c r="D60" s="17">
        <v>3</v>
      </c>
      <c r="E60" s="201"/>
      <c r="F60" s="327">
        <f>D60*E60</f>
        <v>0</v>
      </c>
    </row>
    <row r="61" spans="1:6" s="4" customFormat="1" ht="16" thickBot="1">
      <c r="A61" s="28" t="s">
        <v>283</v>
      </c>
      <c r="B61" s="85" t="s">
        <v>420</v>
      </c>
      <c r="C61" s="12" t="s">
        <v>9</v>
      </c>
      <c r="D61" s="17">
        <v>3</v>
      </c>
      <c r="E61" s="201"/>
      <c r="F61" s="327">
        <f>D61*E61</f>
        <v>0</v>
      </c>
    </row>
    <row r="62" spans="1:6" s="4" customFormat="1" ht="17.5" customHeight="1" thickBot="1">
      <c r="A62" s="18"/>
      <c r="B62" s="91" t="s">
        <v>115</v>
      </c>
      <c r="C62" s="19"/>
      <c r="D62" s="20"/>
      <c r="E62" s="208"/>
      <c r="F62" s="332">
        <f>SUM(F27:F61)</f>
        <v>0</v>
      </c>
    </row>
    <row r="63" spans="1:6" s="4" customFormat="1" ht="16" thickBot="1">
      <c r="A63" s="52"/>
      <c r="B63" s="53" t="s">
        <v>153</v>
      </c>
      <c r="C63" s="54"/>
      <c r="D63" s="55"/>
      <c r="E63" s="206"/>
      <c r="F63" s="330">
        <f>F24+F62</f>
        <v>0</v>
      </c>
    </row>
    <row r="64" spans="1:6" s="40" customFormat="1">
      <c r="A64" s="37"/>
      <c r="B64" s="38"/>
      <c r="C64" s="39"/>
      <c r="D64" s="33"/>
      <c r="E64" s="200"/>
      <c r="F64" s="331"/>
    </row>
    <row r="65" spans="1:6" s="40" customFormat="1">
      <c r="A65" s="87" t="s">
        <v>18</v>
      </c>
      <c r="B65" s="90" t="s">
        <v>71</v>
      </c>
      <c r="C65" s="88"/>
      <c r="D65" s="89"/>
      <c r="E65" s="209"/>
      <c r="F65" s="328"/>
    </row>
    <row r="66" spans="1:6" s="40" customFormat="1">
      <c r="A66" s="86"/>
      <c r="B66" s="244"/>
      <c r="C66" s="32"/>
      <c r="D66" s="33"/>
      <c r="E66" s="200"/>
      <c r="F66" s="331"/>
    </row>
    <row r="67" spans="1:6" s="4" customFormat="1">
      <c r="A67" s="28" t="s">
        <v>116</v>
      </c>
      <c r="B67" s="29" t="s">
        <v>117</v>
      </c>
      <c r="C67" s="12"/>
      <c r="D67" s="17"/>
      <c r="E67" s="201"/>
      <c r="F67" s="327"/>
    </row>
    <row r="68" spans="1:6" s="4" customFormat="1">
      <c r="A68" s="15" t="s">
        <v>119</v>
      </c>
      <c r="B68" s="16" t="s">
        <v>120</v>
      </c>
      <c r="C68" s="12" t="s">
        <v>10</v>
      </c>
      <c r="D68" s="17">
        <f>(27.7*9.88)/100</f>
        <v>2.7367599999999999</v>
      </c>
      <c r="E68" s="210"/>
      <c r="F68" s="327">
        <f>D68*E68</f>
        <v>0</v>
      </c>
    </row>
    <row r="69" spans="1:6" s="4" customFormat="1" ht="16" thickBot="1">
      <c r="A69" s="15" t="s">
        <v>121</v>
      </c>
      <c r="B69" s="16" t="s">
        <v>122</v>
      </c>
      <c r="C69" s="12" t="s">
        <v>9</v>
      </c>
      <c r="D69" s="17">
        <v>12</v>
      </c>
      <c r="E69" s="201"/>
      <c r="F69" s="327">
        <f>D69*E69</f>
        <v>0</v>
      </c>
    </row>
    <row r="70" spans="1:6" s="4" customFormat="1" ht="16" thickBot="1">
      <c r="A70" s="56"/>
      <c r="B70" s="53" t="s">
        <v>154</v>
      </c>
      <c r="C70" s="57"/>
      <c r="D70" s="58"/>
      <c r="E70" s="211"/>
      <c r="F70" s="330">
        <f>SUM(F68:F69)</f>
        <v>0</v>
      </c>
    </row>
    <row r="71" spans="1:6" s="4" customFormat="1">
      <c r="A71" s="41"/>
      <c r="B71" s="42"/>
      <c r="C71" s="25"/>
      <c r="D71" s="17"/>
      <c r="E71" s="207"/>
      <c r="F71" s="327"/>
    </row>
    <row r="72" spans="1:6" s="4" customFormat="1">
      <c r="A72" s="87" t="s">
        <v>41</v>
      </c>
      <c r="B72" s="92" t="s">
        <v>42</v>
      </c>
      <c r="C72" s="88"/>
      <c r="D72" s="89"/>
      <c r="E72" s="209"/>
      <c r="F72" s="328"/>
    </row>
    <row r="73" spans="1:6" s="4" customFormat="1">
      <c r="A73" s="26"/>
      <c r="B73" s="42"/>
      <c r="C73" s="12"/>
      <c r="D73" s="17"/>
      <c r="E73" s="201"/>
      <c r="F73" s="327"/>
    </row>
    <row r="74" spans="1:6" s="4" customFormat="1">
      <c r="A74" s="28" t="s">
        <v>123</v>
      </c>
      <c r="B74" s="42" t="s">
        <v>161</v>
      </c>
      <c r="C74" s="12"/>
      <c r="D74" s="17"/>
      <c r="E74" s="201"/>
      <c r="F74" s="327"/>
    </row>
    <row r="75" spans="1:6" s="4" customFormat="1">
      <c r="A75" s="28" t="s">
        <v>124</v>
      </c>
      <c r="B75" s="29" t="s">
        <v>456</v>
      </c>
      <c r="C75" s="12" t="s">
        <v>4</v>
      </c>
      <c r="D75" s="17">
        <f>27.7*12</f>
        <v>332.4</v>
      </c>
      <c r="E75" s="201"/>
      <c r="F75" s="327">
        <f>D75*E75</f>
        <v>0</v>
      </c>
    </row>
    <row r="76" spans="1:6" s="4" customFormat="1">
      <c r="A76" s="28" t="s">
        <v>125</v>
      </c>
      <c r="B76" s="42" t="s">
        <v>126</v>
      </c>
      <c r="C76" s="12"/>
      <c r="D76" s="17"/>
      <c r="E76" s="201"/>
      <c r="F76" s="327"/>
    </row>
    <row r="77" spans="1:6" s="4" customFormat="1">
      <c r="A77" s="28" t="s">
        <v>127</v>
      </c>
      <c r="B77" s="29" t="s">
        <v>453</v>
      </c>
      <c r="C77" s="12" t="s">
        <v>7</v>
      </c>
      <c r="D77" s="17">
        <v>27.7</v>
      </c>
      <c r="E77" s="201"/>
      <c r="F77" s="327">
        <f>D77*E77</f>
        <v>0</v>
      </c>
    </row>
    <row r="78" spans="1:6" s="4" customFormat="1">
      <c r="A78" s="28" t="s">
        <v>128</v>
      </c>
      <c r="B78" s="42" t="s">
        <v>130</v>
      </c>
      <c r="C78" s="22"/>
      <c r="D78" s="17"/>
      <c r="E78" s="205"/>
      <c r="F78" s="327"/>
    </row>
    <row r="79" spans="1:6" s="4" customFormat="1" ht="16" thickBot="1">
      <c r="A79" s="35" t="s">
        <v>129</v>
      </c>
      <c r="B79" s="29" t="s">
        <v>358</v>
      </c>
      <c r="C79" s="36" t="s">
        <v>4</v>
      </c>
      <c r="D79" s="17">
        <f>(27.7*2+6*4)*0.4</f>
        <v>31.760000000000005</v>
      </c>
      <c r="E79" s="212"/>
      <c r="F79" s="327">
        <f>D79*E79</f>
        <v>0</v>
      </c>
    </row>
    <row r="80" spans="1:6" s="4" customFormat="1" ht="16" thickBot="1">
      <c r="A80" s="56"/>
      <c r="B80" s="53" t="s">
        <v>157</v>
      </c>
      <c r="C80" s="54"/>
      <c r="D80" s="55"/>
      <c r="E80" s="206"/>
      <c r="F80" s="330">
        <f>SUM(F75:F79)</f>
        <v>0</v>
      </c>
    </row>
    <row r="81" spans="1:6" s="4" customFormat="1">
      <c r="A81" s="14"/>
      <c r="B81" s="43"/>
      <c r="C81" s="12"/>
      <c r="D81" s="17"/>
      <c r="E81" s="201"/>
      <c r="F81" s="327"/>
    </row>
    <row r="82" spans="1:6" s="4" customFormat="1">
      <c r="A82" s="93" t="s">
        <v>47</v>
      </c>
      <c r="B82" s="90" t="s">
        <v>48</v>
      </c>
      <c r="C82" s="88"/>
      <c r="D82" s="89"/>
      <c r="E82" s="209"/>
      <c r="F82" s="328"/>
    </row>
    <row r="83" spans="1:6" s="4" customFormat="1">
      <c r="A83" s="14"/>
      <c r="B83" s="43"/>
      <c r="C83" s="12"/>
      <c r="D83" s="17"/>
      <c r="E83" s="201"/>
      <c r="F83" s="327"/>
    </row>
    <row r="84" spans="1:6" s="4" customFormat="1">
      <c r="A84" s="16" t="s">
        <v>49</v>
      </c>
      <c r="B84" s="43" t="s">
        <v>51</v>
      </c>
      <c r="C84" s="12"/>
      <c r="D84" s="17"/>
      <c r="E84" s="201"/>
      <c r="F84" s="327"/>
    </row>
    <row r="85" spans="1:6" s="4" customFormat="1" ht="16" thickBot="1">
      <c r="A85" s="29" t="s">
        <v>50</v>
      </c>
      <c r="B85" s="44" t="s">
        <v>162</v>
      </c>
      <c r="C85" s="12" t="s">
        <v>131</v>
      </c>
      <c r="D85" s="17">
        <v>1</v>
      </c>
      <c r="E85" s="201"/>
      <c r="F85" s="327">
        <f>D85*E85</f>
        <v>0</v>
      </c>
    </row>
    <row r="86" spans="1:6" s="4" customFormat="1" ht="16" thickBot="1">
      <c r="A86" s="81"/>
      <c r="B86" s="82" t="s">
        <v>158</v>
      </c>
      <c r="C86" s="79"/>
      <c r="D86" s="78"/>
      <c r="E86" s="213"/>
      <c r="F86" s="329">
        <f>F85</f>
        <v>0</v>
      </c>
    </row>
    <row r="87" spans="1:6" s="4" customFormat="1">
      <c r="A87" s="41"/>
      <c r="B87" s="42"/>
      <c r="C87" s="45"/>
      <c r="D87" s="46"/>
      <c r="E87" s="207"/>
      <c r="F87" s="327"/>
    </row>
    <row r="88" spans="1:6" s="4" customFormat="1">
      <c r="A88" s="93" t="s">
        <v>53</v>
      </c>
      <c r="B88" s="94" t="s">
        <v>55</v>
      </c>
      <c r="C88" s="95"/>
      <c r="D88" s="96"/>
      <c r="E88" s="214"/>
      <c r="F88" s="328"/>
    </row>
    <row r="89" spans="1:6" s="4" customFormat="1">
      <c r="A89" s="14"/>
      <c r="B89" s="47"/>
      <c r="C89" s="22"/>
      <c r="D89" s="23"/>
      <c r="E89" s="205"/>
      <c r="F89" s="327"/>
    </row>
    <row r="90" spans="1:6" s="4" customFormat="1">
      <c r="A90" s="15" t="s">
        <v>324</v>
      </c>
      <c r="B90" s="47" t="s">
        <v>134</v>
      </c>
      <c r="C90" s="12"/>
      <c r="D90" s="17"/>
      <c r="E90" s="201"/>
      <c r="F90" s="327"/>
    </row>
    <row r="91" spans="1:6" s="4" customFormat="1">
      <c r="A91" s="15" t="s">
        <v>325</v>
      </c>
      <c r="B91" s="16" t="s">
        <v>343</v>
      </c>
      <c r="C91" s="12" t="s">
        <v>9</v>
      </c>
      <c r="D91" s="17">
        <v>3</v>
      </c>
      <c r="E91" s="201"/>
      <c r="F91" s="327">
        <f>D91*E91</f>
        <v>0</v>
      </c>
    </row>
    <row r="92" spans="1:6" s="4" customFormat="1">
      <c r="A92" s="15" t="s">
        <v>325</v>
      </c>
      <c r="B92" s="16" t="s">
        <v>419</v>
      </c>
      <c r="C92" s="12" t="s">
        <v>9</v>
      </c>
      <c r="D92" s="17">
        <v>3</v>
      </c>
      <c r="E92" s="201"/>
      <c r="F92" s="327">
        <f>D92*E92</f>
        <v>0</v>
      </c>
    </row>
    <row r="93" spans="1:6" s="4" customFormat="1">
      <c r="A93" s="15" t="s">
        <v>375</v>
      </c>
      <c r="B93" s="47" t="s">
        <v>135</v>
      </c>
      <c r="C93" s="12"/>
      <c r="D93" s="17"/>
      <c r="E93" s="201"/>
      <c r="F93" s="327"/>
    </row>
    <row r="94" spans="1:6" s="4" customFormat="1" ht="16" thickBot="1">
      <c r="A94" s="15" t="s">
        <v>376</v>
      </c>
      <c r="B94" s="16" t="s">
        <v>359</v>
      </c>
      <c r="C94" s="12" t="s">
        <v>9</v>
      </c>
      <c r="D94" s="17">
        <v>3</v>
      </c>
      <c r="E94" s="201"/>
      <c r="F94" s="327">
        <f>D94*E94</f>
        <v>0</v>
      </c>
    </row>
    <row r="95" spans="1:6" s="4" customFormat="1" ht="16" thickBot="1">
      <c r="A95" s="81"/>
      <c r="B95" s="76" t="s">
        <v>159</v>
      </c>
      <c r="C95" s="77"/>
      <c r="D95" s="80"/>
      <c r="E95" s="215"/>
      <c r="F95" s="329">
        <f>SUM(F91:F94)</f>
        <v>0</v>
      </c>
    </row>
    <row r="96" spans="1:6" s="4" customFormat="1">
      <c r="A96" s="14"/>
      <c r="B96" s="11"/>
      <c r="C96" s="12"/>
      <c r="D96" s="17"/>
      <c r="E96" s="201"/>
      <c r="F96" s="327"/>
    </row>
    <row r="97" spans="1:7" s="4" customFormat="1">
      <c r="A97" s="93" t="s">
        <v>72</v>
      </c>
      <c r="B97" s="97" t="s">
        <v>11</v>
      </c>
      <c r="C97" s="88"/>
      <c r="D97" s="96"/>
      <c r="E97" s="214"/>
      <c r="F97" s="328"/>
    </row>
    <row r="98" spans="1:7" s="4" customFormat="1">
      <c r="A98" s="14"/>
      <c r="B98" s="11"/>
      <c r="C98" s="12"/>
      <c r="D98" s="23"/>
      <c r="E98" s="205"/>
      <c r="F98" s="327"/>
    </row>
    <row r="99" spans="1:7" s="30" customFormat="1">
      <c r="A99" s="15" t="s">
        <v>132</v>
      </c>
      <c r="B99" s="47" t="s">
        <v>137</v>
      </c>
      <c r="C99" s="49"/>
      <c r="D99" s="46"/>
      <c r="E99" s="216"/>
      <c r="F99" s="327"/>
      <c r="G99" s="4"/>
    </row>
    <row r="100" spans="1:7" s="30" customFormat="1">
      <c r="A100" s="15" t="s">
        <v>163</v>
      </c>
      <c r="B100" s="48" t="s">
        <v>59</v>
      </c>
      <c r="C100" s="12" t="s">
        <v>4</v>
      </c>
      <c r="D100" s="17">
        <f>(26.7*2+7.23*2)*2</f>
        <v>135.72</v>
      </c>
      <c r="E100" s="201"/>
      <c r="F100" s="327">
        <f>D100*E100</f>
        <v>0</v>
      </c>
      <c r="G100" s="4"/>
    </row>
    <row r="101" spans="1:7" s="30" customFormat="1" ht="31">
      <c r="A101" s="15" t="s">
        <v>379</v>
      </c>
      <c r="B101" s="48" t="s">
        <v>138</v>
      </c>
      <c r="C101" s="12" t="s">
        <v>4</v>
      </c>
      <c r="D101" s="17">
        <f>1.5*(26.7*2+7.23*2)</f>
        <v>101.78999999999999</v>
      </c>
      <c r="E101" s="201"/>
      <c r="F101" s="327">
        <f>D101*E101</f>
        <v>0</v>
      </c>
      <c r="G101" s="4"/>
    </row>
    <row r="102" spans="1:7" s="4" customFormat="1">
      <c r="A102" s="15" t="s">
        <v>133</v>
      </c>
      <c r="B102" s="47" t="s">
        <v>139</v>
      </c>
      <c r="C102" s="12"/>
      <c r="D102" s="17"/>
      <c r="E102" s="201"/>
      <c r="F102" s="327"/>
    </row>
    <row r="103" spans="1:7" s="4" customFormat="1">
      <c r="A103" s="15" t="s">
        <v>164</v>
      </c>
      <c r="B103" s="48" t="s">
        <v>60</v>
      </c>
      <c r="C103" s="12" t="s">
        <v>4</v>
      </c>
      <c r="D103" s="17">
        <f>3.5*(26.7*2+7.23*6)</f>
        <v>338.73</v>
      </c>
      <c r="E103" s="201"/>
      <c r="F103" s="327">
        <f>D103*E103</f>
        <v>0</v>
      </c>
    </row>
    <row r="104" spans="1:7" s="4" customFormat="1">
      <c r="A104" s="16" t="s">
        <v>380</v>
      </c>
      <c r="B104" s="47" t="s">
        <v>140</v>
      </c>
      <c r="C104" s="12"/>
      <c r="D104" s="17"/>
      <c r="E104" s="205"/>
      <c r="F104" s="327"/>
    </row>
    <row r="105" spans="1:7" s="4" customFormat="1" ht="15" customHeight="1">
      <c r="A105" s="16" t="s">
        <v>383</v>
      </c>
      <c r="B105" s="48" t="s">
        <v>141</v>
      </c>
      <c r="C105" s="12" t="s">
        <v>4</v>
      </c>
      <c r="D105" s="17">
        <f>3*1.45*2.2*2+4*2*1*2.2</f>
        <v>36.74</v>
      </c>
      <c r="E105" s="201"/>
      <c r="F105" s="327">
        <f>D105*E105</f>
        <v>0</v>
      </c>
    </row>
    <row r="106" spans="1:7" s="4" customFormat="1">
      <c r="A106" s="16" t="s">
        <v>418</v>
      </c>
      <c r="B106" s="47" t="s">
        <v>344</v>
      </c>
      <c r="C106" s="12"/>
      <c r="D106" s="17"/>
      <c r="E106" s="201"/>
      <c r="F106" s="327"/>
    </row>
    <row r="107" spans="1:7" s="4" customFormat="1">
      <c r="A107" s="16" t="s">
        <v>417</v>
      </c>
      <c r="B107" s="48" t="s">
        <v>388</v>
      </c>
      <c r="C107" s="12" t="s">
        <v>4</v>
      </c>
      <c r="D107" s="17">
        <f>6*1.4*3+3*3*1.4</f>
        <v>37.799999999999997</v>
      </c>
      <c r="E107" s="201"/>
      <c r="F107" s="327">
        <f>D107*E107</f>
        <v>0</v>
      </c>
    </row>
    <row r="108" spans="1:7" s="4" customFormat="1" ht="16" thickBot="1">
      <c r="A108" s="16" t="s">
        <v>416</v>
      </c>
      <c r="B108" s="48" t="s">
        <v>142</v>
      </c>
      <c r="C108" s="12" t="s">
        <v>4</v>
      </c>
      <c r="D108" s="17">
        <f>6*1.4*3+3*3*1.4</f>
        <v>37.799999999999997</v>
      </c>
      <c r="E108" s="201"/>
      <c r="F108" s="327">
        <f>D108*E108</f>
        <v>0</v>
      </c>
    </row>
    <row r="109" spans="1:7" s="4" customFormat="1" ht="16" thickBot="1">
      <c r="A109" s="75"/>
      <c r="B109" s="76" t="s">
        <v>160</v>
      </c>
      <c r="C109" s="77"/>
      <c r="D109" s="78"/>
      <c r="E109" s="79"/>
      <c r="F109" s="326">
        <f>SUM(F99:F108)</f>
        <v>0</v>
      </c>
    </row>
    <row r="110" spans="1:7" s="40" customFormat="1" ht="16" thickBot="1">
      <c r="A110" s="189"/>
      <c r="B110" s="190"/>
      <c r="C110" s="191"/>
      <c r="D110" s="192"/>
      <c r="E110" s="193"/>
      <c r="F110" s="324"/>
    </row>
    <row r="111" spans="1:7" s="4" customFormat="1" ht="16" thickBot="1">
      <c r="A111" s="59"/>
      <c r="B111" s="60" t="s">
        <v>415</v>
      </c>
      <c r="C111" s="61"/>
      <c r="D111" s="62"/>
      <c r="E111" s="63"/>
      <c r="F111" s="323">
        <f>F109+F95+F86+F80+F70+F63+F15</f>
        <v>0</v>
      </c>
    </row>
    <row r="112" spans="1:7" s="40" customFormat="1" ht="16" thickBot="1">
      <c r="A112" s="189"/>
      <c r="B112" s="325"/>
      <c r="C112" s="191"/>
      <c r="D112" s="192"/>
      <c r="E112" s="193"/>
      <c r="F112" s="324"/>
    </row>
    <row r="113" spans="1:6" s="4" customFormat="1" ht="16" thickBot="1">
      <c r="A113" s="59"/>
      <c r="B113" s="60" t="s">
        <v>345</v>
      </c>
      <c r="C113" s="61"/>
      <c r="D113" s="194">
        <v>0.15</v>
      </c>
      <c r="E113" s="63"/>
      <c r="F113" s="323">
        <f>F111*D113</f>
        <v>0</v>
      </c>
    </row>
    <row r="114" spans="1:6" s="40" customFormat="1" ht="16" thickBot="1">
      <c r="A114" s="31"/>
      <c r="B114" s="244"/>
      <c r="C114" s="249"/>
      <c r="D114" s="250"/>
      <c r="E114" s="251"/>
      <c r="F114" s="322"/>
    </row>
    <row r="115" spans="1:6" s="4" customFormat="1" ht="16" thickBot="1">
      <c r="A115" s="59"/>
      <c r="B115" s="60" t="s">
        <v>414</v>
      </c>
      <c r="C115" s="61"/>
      <c r="D115" s="62"/>
      <c r="E115" s="63"/>
      <c r="F115" s="323">
        <f>F113+F111</f>
        <v>0</v>
      </c>
    </row>
    <row r="116" spans="1:6" s="40" customFormat="1">
      <c r="A116" s="31"/>
      <c r="B116" s="244"/>
      <c r="C116" s="249"/>
      <c r="D116" s="250"/>
      <c r="E116" s="251"/>
      <c r="F116" s="322"/>
    </row>
  </sheetData>
  <sheetProtection selectLockedCells="1"/>
  <mergeCells count="2">
    <mergeCell ref="B4:C4"/>
    <mergeCell ref="A5:F5"/>
  </mergeCells>
  <pageMargins left="0.7" right="0.7" top="0.75" bottom="0.75" header="0.3" footer="0.3"/>
  <pageSetup paperSize="9" scale="55" fitToHeight="4" orientation="portrait" r:id="rId1"/>
  <rowBreaks count="1" manualBreakCount="1">
    <brk id="8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77FC-048B-4515-950F-D68FB8D21A9B}">
  <sheetPr>
    <tabColor theme="0"/>
  </sheetPr>
  <dimension ref="A1:H135"/>
  <sheetViews>
    <sheetView view="pageBreakPreview" topLeftCell="A78" zoomScaleNormal="100" zoomScaleSheetLayoutView="100" workbookViewId="0">
      <selection activeCell="B95" sqref="B95"/>
    </sheetView>
  </sheetViews>
  <sheetFormatPr baseColWidth="10" defaultRowHeight="14.5"/>
  <cols>
    <col min="2" max="2" width="53.1796875" customWidth="1"/>
    <col min="3" max="3" width="7.1796875" customWidth="1"/>
    <col min="6" max="6" width="15.54296875" customWidth="1"/>
  </cols>
  <sheetData>
    <row r="1" spans="1:6" ht="89.5" customHeight="1">
      <c r="A1" s="411"/>
      <c r="B1" s="411"/>
      <c r="C1" s="411"/>
      <c r="D1" s="411"/>
      <c r="E1" s="411"/>
      <c r="F1" s="411"/>
    </row>
    <row r="2" spans="1:6">
      <c r="D2" s="188"/>
    </row>
    <row r="3" spans="1:6" s="197" customFormat="1" ht="17.25" customHeight="1">
      <c r="A3" s="412" t="s">
        <v>351</v>
      </c>
      <c r="B3" s="413"/>
      <c r="C3" s="413"/>
      <c r="D3" s="413"/>
      <c r="E3" s="413"/>
      <c r="F3" s="414"/>
    </row>
    <row r="4" spans="1:6" s="29" customFormat="1" ht="12.75" customHeight="1" thickBot="1">
      <c r="A4" s="111"/>
      <c r="B4" s="111"/>
      <c r="C4" s="112"/>
      <c r="D4" s="113"/>
      <c r="E4" s="112"/>
      <c r="F4" s="112"/>
    </row>
    <row r="5" spans="1:6" s="29" customFormat="1" ht="44" thickTop="1">
      <c r="A5" s="114" t="s">
        <v>12</v>
      </c>
      <c r="B5" s="115" t="s">
        <v>8</v>
      </c>
      <c r="C5" s="116" t="s">
        <v>0</v>
      </c>
      <c r="D5" s="117" t="s">
        <v>2</v>
      </c>
      <c r="E5" s="116" t="s">
        <v>3</v>
      </c>
      <c r="F5" s="116" t="s">
        <v>1</v>
      </c>
    </row>
    <row r="6" spans="1:6" s="29" customFormat="1" ht="15.5">
      <c r="A6" s="118"/>
      <c r="B6" s="119"/>
      <c r="C6" s="120"/>
      <c r="D6" s="121"/>
      <c r="E6" s="217"/>
      <c r="F6" s="120"/>
    </row>
    <row r="7" spans="1:6" s="29" customFormat="1" ht="18" customHeight="1">
      <c r="A7" s="122" t="s">
        <v>13</v>
      </c>
      <c r="B7" s="123" t="s">
        <v>181</v>
      </c>
      <c r="C7" s="124"/>
      <c r="D7" s="125"/>
      <c r="E7" s="218"/>
      <c r="F7" s="124"/>
    </row>
    <row r="8" spans="1:6" s="31" customFormat="1" ht="18" customHeight="1">
      <c r="A8" s="126" t="s">
        <v>68</v>
      </c>
      <c r="B8" s="127" t="s">
        <v>338</v>
      </c>
      <c r="C8" s="128" t="s">
        <v>182</v>
      </c>
      <c r="D8" s="129">
        <v>0</v>
      </c>
      <c r="E8" s="219"/>
      <c r="F8" s="130">
        <f>D8*E8</f>
        <v>0</v>
      </c>
    </row>
    <row r="9" spans="1:6" s="31" customFormat="1" ht="18" customHeight="1">
      <c r="A9" s="126" t="s">
        <v>5</v>
      </c>
      <c r="B9" s="127" t="s">
        <v>175</v>
      </c>
      <c r="C9" s="128" t="s">
        <v>182</v>
      </c>
      <c r="D9" s="129">
        <v>0</v>
      </c>
      <c r="E9" s="219"/>
      <c r="F9" s="130">
        <f>D9*E9</f>
        <v>0</v>
      </c>
    </row>
    <row r="10" spans="1:6" s="31" customFormat="1" ht="18" customHeight="1">
      <c r="A10" s="126" t="s">
        <v>69</v>
      </c>
      <c r="B10" s="127">
        <v>1</v>
      </c>
      <c r="C10" s="128" t="s">
        <v>182</v>
      </c>
      <c r="D10" s="129">
        <v>1</v>
      </c>
      <c r="E10" s="219"/>
      <c r="F10" s="130">
        <f>D10*E10</f>
        <v>0</v>
      </c>
    </row>
    <row r="11" spans="1:6" s="29" customFormat="1" ht="15.5">
      <c r="A11" s="118"/>
      <c r="B11" s="131" t="s">
        <v>183</v>
      </c>
      <c r="C11" s="132"/>
      <c r="D11" s="133"/>
      <c r="E11" s="220"/>
      <c r="F11" s="134">
        <f>SUM(F8:F10)</f>
        <v>0</v>
      </c>
    </row>
    <row r="12" spans="1:6" s="29" customFormat="1" ht="15.5">
      <c r="A12" s="118"/>
      <c r="B12" s="119"/>
      <c r="C12" s="120"/>
      <c r="D12" s="135"/>
      <c r="E12" s="221"/>
      <c r="F12" s="136"/>
    </row>
    <row r="13" spans="1:6" s="29" customFormat="1" ht="15.5">
      <c r="A13" s="122" t="s">
        <v>14</v>
      </c>
      <c r="B13" s="123" t="s">
        <v>15</v>
      </c>
      <c r="C13" s="124"/>
      <c r="D13" s="125"/>
      <c r="E13" s="218"/>
      <c r="F13" s="124"/>
    </row>
    <row r="14" spans="1:6" s="29" customFormat="1" ht="17.25" customHeight="1">
      <c r="A14" s="137">
        <v>2</v>
      </c>
      <c r="B14" s="138" t="s">
        <v>184</v>
      </c>
      <c r="C14" s="139"/>
      <c r="D14" s="140"/>
      <c r="E14" s="222"/>
      <c r="F14" s="136"/>
    </row>
    <row r="15" spans="1:6" s="31" customFormat="1" ht="17.25" customHeight="1">
      <c r="A15" s="126" t="s">
        <v>79</v>
      </c>
      <c r="B15" s="141" t="s">
        <v>349</v>
      </c>
      <c r="C15" s="142" t="s">
        <v>281</v>
      </c>
      <c r="D15" s="143">
        <f>49.75*0.85*0.6</f>
        <v>25.372499999999999</v>
      </c>
      <c r="E15" s="223"/>
      <c r="F15" s="130">
        <f>D15*E15</f>
        <v>0</v>
      </c>
    </row>
    <row r="16" spans="1:6" s="31" customFormat="1" ht="17.25" customHeight="1">
      <c r="A16" s="126" t="s">
        <v>81</v>
      </c>
      <c r="B16" s="141" t="s">
        <v>185</v>
      </c>
      <c r="C16" s="142" t="s">
        <v>281</v>
      </c>
      <c r="D16" s="143">
        <f>49.75*0.45*0.4</f>
        <v>8.9550000000000001</v>
      </c>
      <c r="E16" s="223"/>
      <c r="F16" s="130">
        <f>D16*E16</f>
        <v>0</v>
      </c>
    </row>
    <row r="17" spans="1:6" s="31" customFormat="1" ht="17.25" customHeight="1">
      <c r="A17" s="126" t="s">
        <v>82</v>
      </c>
      <c r="B17" s="141" t="s">
        <v>186</v>
      </c>
      <c r="C17" s="142" t="s">
        <v>281</v>
      </c>
      <c r="D17" s="143">
        <f>12*7.45*0.75</f>
        <v>67.050000000000011</v>
      </c>
      <c r="E17" s="223"/>
      <c r="F17" s="130">
        <f>D17*E17</f>
        <v>0</v>
      </c>
    </row>
    <row r="18" spans="1:6" s="29" customFormat="1" ht="15.5">
      <c r="A18" s="144"/>
      <c r="B18" s="145" t="s">
        <v>187</v>
      </c>
      <c r="C18" s="146"/>
      <c r="D18" s="147"/>
      <c r="E18" s="224"/>
      <c r="F18" s="148">
        <f>SUM(F15:F17)</f>
        <v>0</v>
      </c>
    </row>
    <row r="19" spans="1:6" s="29" customFormat="1" ht="15.5">
      <c r="A19" s="144"/>
      <c r="B19" s="149"/>
      <c r="C19" s="120"/>
      <c r="D19" s="135"/>
      <c r="E19" s="221"/>
      <c r="F19" s="136"/>
    </row>
    <row r="20" spans="1:6" s="29" customFormat="1" ht="17.25" customHeight="1">
      <c r="A20" s="137" t="s">
        <v>16</v>
      </c>
      <c r="B20" s="138" t="s">
        <v>188</v>
      </c>
      <c r="C20" s="139"/>
      <c r="D20" s="140"/>
      <c r="E20" s="222"/>
      <c r="F20" s="136"/>
    </row>
    <row r="21" spans="1:6" s="29" customFormat="1" ht="17.25" customHeight="1">
      <c r="A21" s="150" t="s">
        <v>17</v>
      </c>
      <c r="B21" s="151" t="s">
        <v>19</v>
      </c>
      <c r="C21" s="139"/>
      <c r="D21" s="121"/>
      <c r="E21" s="222"/>
      <c r="F21" s="136"/>
    </row>
    <row r="22" spans="1:6" s="31" customFormat="1" ht="17.25" customHeight="1">
      <c r="A22" s="126" t="s">
        <v>88</v>
      </c>
      <c r="B22" s="127" t="s">
        <v>189</v>
      </c>
      <c r="C22" s="128"/>
      <c r="D22" s="143"/>
      <c r="E22" s="223"/>
      <c r="F22" s="130"/>
    </row>
    <row r="23" spans="1:6" s="31" customFormat="1" ht="17.25" customHeight="1">
      <c r="A23" s="126" t="s">
        <v>190</v>
      </c>
      <c r="B23" s="127" t="s">
        <v>20</v>
      </c>
      <c r="C23" s="128" t="s">
        <v>10</v>
      </c>
      <c r="D23" s="143">
        <f>49.75*0.6*0.2</f>
        <v>5.97</v>
      </c>
      <c r="E23" s="223"/>
      <c r="F23" s="130">
        <f t="shared" ref="F23:F36" si="0">D23*E23</f>
        <v>0</v>
      </c>
    </row>
    <row r="24" spans="1:6" s="31" customFormat="1" ht="17.25" customHeight="1">
      <c r="A24" s="126" t="s">
        <v>191</v>
      </c>
      <c r="B24" s="127" t="s">
        <v>350</v>
      </c>
      <c r="C24" s="128" t="s">
        <v>23</v>
      </c>
      <c r="D24" s="143">
        <f>D23*80</f>
        <v>477.59999999999997</v>
      </c>
      <c r="E24" s="223"/>
      <c r="F24" s="130">
        <f t="shared" si="0"/>
        <v>0</v>
      </c>
    </row>
    <row r="25" spans="1:6" s="31" customFormat="1" ht="17.25" customHeight="1">
      <c r="A25" s="126" t="s">
        <v>89</v>
      </c>
      <c r="B25" s="127" t="s">
        <v>192</v>
      </c>
      <c r="C25" s="128"/>
      <c r="D25" s="143"/>
      <c r="E25" s="223"/>
      <c r="F25" s="130"/>
    </row>
    <row r="26" spans="1:6" s="31" customFormat="1" ht="17.25" customHeight="1">
      <c r="A26" s="126" t="s">
        <v>193</v>
      </c>
      <c r="B26" s="127" t="s">
        <v>20</v>
      </c>
      <c r="C26" s="128" t="s">
        <v>10</v>
      </c>
      <c r="D26" s="143">
        <f>11*0.15*0.15*0.8</f>
        <v>0.19799999999999998</v>
      </c>
      <c r="E26" s="223"/>
      <c r="F26" s="130">
        <f t="shared" si="0"/>
        <v>0</v>
      </c>
    </row>
    <row r="27" spans="1:6" s="31" customFormat="1" ht="17.25" customHeight="1">
      <c r="A27" s="126" t="s">
        <v>191</v>
      </c>
      <c r="B27" s="127" t="s">
        <v>350</v>
      </c>
      <c r="C27" s="128" t="s">
        <v>23</v>
      </c>
      <c r="D27" s="143">
        <f>D26*80</f>
        <v>15.839999999999998</v>
      </c>
      <c r="E27" s="223"/>
      <c r="F27" s="130">
        <f t="shared" si="0"/>
        <v>0</v>
      </c>
    </row>
    <row r="28" spans="1:6" s="31" customFormat="1" ht="17.25" customHeight="1">
      <c r="A28" s="126" t="s">
        <v>194</v>
      </c>
      <c r="B28" s="127" t="s">
        <v>21</v>
      </c>
      <c r="C28" s="128" t="s">
        <v>4</v>
      </c>
      <c r="D28" s="143">
        <f>D26*12</f>
        <v>2.3759999999999999</v>
      </c>
      <c r="E28" s="223"/>
      <c r="F28" s="130">
        <f t="shared" si="0"/>
        <v>0</v>
      </c>
    </row>
    <row r="29" spans="1:6" s="31" customFormat="1" ht="17.25" customHeight="1">
      <c r="A29" s="126" t="s">
        <v>90</v>
      </c>
      <c r="B29" s="127" t="s">
        <v>195</v>
      </c>
      <c r="C29" s="128"/>
      <c r="D29" s="143"/>
      <c r="E29" s="223"/>
      <c r="F29" s="130"/>
    </row>
    <row r="30" spans="1:6" s="31" customFormat="1" ht="17.25" customHeight="1">
      <c r="A30" s="126" t="s">
        <v>196</v>
      </c>
      <c r="B30" s="127" t="s">
        <v>20</v>
      </c>
      <c r="C30" s="128" t="s">
        <v>10</v>
      </c>
      <c r="D30" s="143">
        <f>49.75*0.2*0.15</f>
        <v>1.4925000000000002</v>
      </c>
      <c r="E30" s="223"/>
      <c r="F30" s="130">
        <f t="shared" si="0"/>
        <v>0</v>
      </c>
    </row>
    <row r="31" spans="1:6" s="31" customFormat="1" ht="17.25" customHeight="1">
      <c r="A31" s="126" t="s">
        <v>197</v>
      </c>
      <c r="B31" s="127" t="s">
        <v>350</v>
      </c>
      <c r="C31" s="128" t="s">
        <v>23</v>
      </c>
      <c r="D31" s="143">
        <f>D30*80</f>
        <v>119.4</v>
      </c>
      <c r="E31" s="223"/>
      <c r="F31" s="130">
        <f t="shared" si="0"/>
        <v>0</v>
      </c>
    </row>
    <row r="32" spans="1:6" s="31" customFormat="1" ht="17.25" customHeight="1">
      <c r="A32" s="126" t="s">
        <v>198</v>
      </c>
      <c r="B32" s="127" t="s">
        <v>21</v>
      </c>
      <c r="C32" s="128" t="s">
        <v>4</v>
      </c>
      <c r="D32" s="143">
        <f>D30*12</f>
        <v>17.910000000000004</v>
      </c>
      <c r="E32" s="223"/>
      <c r="F32" s="130">
        <f t="shared" si="0"/>
        <v>0</v>
      </c>
    </row>
    <row r="33" spans="1:6" s="31" customFormat="1" ht="17.25" customHeight="1">
      <c r="A33" s="126" t="s">
        <v>91</v>
      </c>
      <c r="B33" s="127" t="s">
        <v>199</v>
      </c>
      <c r="C33" s="128" t="s">
        <v>4</v>
      </c>
      <c r="D33" s="143">
        <f>49.75*1.1</f>
        <v>54.725000000000001</v>
      </c>
      <c r="E33" s="223"/>
      <c r="F33" s="130">
        <f t="shared" si="0"/>
        <v>0</v>
      </c>
    </row>
    <row r="34" spans="1:6" s="31" customFormat="1" ht="17.25" customHeight="1">
      <c r="A34" s="126" t="s">
        <v>92</v>
      </c>
      <c r="B34" s="127" t="s">
        <v>200</v>
      </c>
      <c r="C34" s="128"/>
      <c r="D34" s="143"/>
      <c r="E34" s="223"/>
      <c r="F34" s="130"/>
    </row>
    <row r="35" spans="1:6" s="29" customFormat="1" ht="17.25" customHeight="1">
      <c r="A35" s="152" t="s">
        <v>201</v>
      </c>
      <c r="B35" s="153" t="s">
        <v>20</v>
      </c>
      <c r="C35" s="154" t="s">
        <v>10</v>
      </c>
      <c r="D35" s="121">
        <f>12*7.45*0.1</f>
        <v>8.9400000000000013</v>
      </c>
      <c r="E35" s="223"/>
      <c r="F35" s="136">
        <f t="shared" ref="F35" si="1">D35*E35</f>
        <v>0</v>
      </c>
    </row>
    <row r="36" spans="1:6" s="29" customFormat="1" ht="17.25" customHeight="1">
      <c r="A36" s="152" t="s">
        <v>201</v>
      </c>
      <c r="B36" s="127" t="s">
        <v>362</v>
      </c>
      <c r="C36" s="154" t="s">
        <v>10</v>
      </c>
      <c r="D36" s="121">
        <f>D35*60</f>
        <v>536.40000000000009</v>
      </c>
      <c r="E36" s="223"/>
      <c r="F36" s="136">
        <f t="shared" si="0"/>
        <v>0</v>
      </c>
    </row>
    <row r="37" spans="1:6" s="29" customFormat="1" ht="17.25" customHeight="1">
      <c r="A37" s="152"/>
      <c r="B37" s="154"/>
      <c r="C37" s="139"/>
      <c r="D37" s="121"/>
      <c r="E37" s="222"/>
      <c r="F37" s="136"/>
    </row>
    <row r="38" spans="1:6" s="31" customFormat="1" ht="17.25" customHeight="1">
      <c r="A38" s="155" t="s">
        <v>24</v>
      </c>
      <c r="B38" s="156" t="s">
        <v>25</v>
      </c>
      <c r="C38" s="142"/>
      <c r="D38" s="143"/>
      <c r="E38" s="223"/>
      <c r="F38" s="130"/>
    </row>
    <row r="39" spans="1:6" s="31" customFormat="1" ht="17.25" customHeight="1">
      <c r="A39" s="126" t="s">
        <v>26</v>
      </c>
      <c r="B39" s="157" t="s">
        <v>202</v>
      </c>
      <c r="C39" s="128" t="s">
        <v>4</v>
      </c>
      <c r="D39" s="143">
        <f>(3.7*3+7.75*2)*2.57+(7.45+7.4*2)*0.1</f>
        <v>70.586999999999989</v>
      </c>
      <c r="E39" s="223"/>
      <c r="F39" s="130">
        <f>D39*E39</f>
        <v>0</v>
      </c>
    </row>
    <row r="40" spans="1:6" s="31" customFormat="1" ht="17.25" customHeight="1">
      <c r="A40" s="126" t="s">
        <v>150</v>
      </c>
      <c r="B40" s="127" t="s">
        <v>203</v>
      </c>
      <c r="C40" s="128"/>
      <c r="D40" s="143"/>
      <c r="E40" s="223"/>
      <c r="F40" s="130"/>
    </row>
    <row r="41" spans="1:6" s="31" customFormat="1" ht="17.25" customHeight="1">
      <c r="A41" s="126" t="s">
        <v>204</v>
      </c>
      <c r="B41" s="127" t="s">
        <v>20</v>
      </c>
      <c r="C41" s="128" t="s">
        <v>10</v>
      </c>
      <c r="D41" s="143">
        <f>11*0.15*0.15*3.57</f>
        <v>0.88357499999999989</v>
      </c>
      <c r="E41" s="223"/>
      <c r="F41" s="130">
        <f t="shared" ref="F41:F51" si="2">D41*E41</f>
        <v>0</v>
      </c>
    </row>
    <row r="42" spans="1:6" s="31" customFormat="1" ht="17.25" customHeight="1">
      <c r="A42" s="126" t="s">
        <v>205</v>
      </c>
      <c r="B42" s="127" t="s">
        <v>22</v>
      </c>
      <c r="C42" s="128" t="s">
        <v>23</v>
      </c>
      <c r="D42" s="143">
        <f>D41*80</f>
        <v>70.685999999999993</v>
      </c>
      <c r="E42" s="223"/>
      <c r="F42" s="130">
        <f t="shared" si="2"/>
        <v>0</v>
      </c>
    </row>
    <row r="43" spans="1:6" s="31" customFormat="1" ht="17.25" customHeight="1">
      <c r="A43" s="126" t="s">
        <v>206</v>
      </c>
      <c r="B43" s="127" t="s">
        <v>207</v>
      </c>
      <c r="C43" s="128" t="s">
        <v>4</v>
      </c>
      <c r="D43" s="143">
        <v>29.41</v>
      </c>
      <c r="E43" s="223"/>
      <c r="F43" s="130">
        <f t="shared" si="2"/>
        <v>0</v>
      </c>
    </row>
    <row r="44" spans="1:6" s="29" customFormat="1" ht="17.25" customHeight="1">
      <c r="A44" s="152" t="s">
        <v>27</v>
      </c>
      <c r="B44" s="153" t="s">
        <v>208</v>
      </c>
      <c r="C44" s="154"/>
      <c r="D44" s="121"/>
      <c r="E44" s="222"/>
      <c r="F44" s="136"/>
    </row>
    <row r="45" spans="1:6" s="29" customFormat="1" ht="17.25" customHeight="1">
      <c r="A45" s="152" t="s">
        <v>209</v>
      </c>
      <c r="B45" s="153" t="s">
        <v>20</v>
      </c>
      <c r="C45" s="154" t="s">
        <v>10</v>
      </c>
      <c r="D45" s="121">
        <f>D30</f>
        <v>1.4925000000000002</v>
      </c>
      <c r="E45" s="223"/>
      <c r="F45" s="136">
        <f t="shared" si="2"/>
        <v>0</v>
      </c>
    </row>
    <row r="46" spans="1:6" s="29" customFormat="1" ht="17.25" customHeight="1">
      <c r="A46" s="152" t="s">
        <v>210</v>
      </c>
      <c r="B46" s="153" t="s">
        <v>22</v>
      </c>
      <c r="C46" s="154" t="s">
        <v>23</v>
      </c>
      <c r="D46" s="121">
        <f>D45*80</f>
        <v>119.4</v>
      </c>
      <c r="E46" s="223"/>
      <c r="F46" s="136">
        <f t="shared" si="2"/>
        <v>0</v>
      </c>
    </row>
    <row r="47" spans="1:6" s="29" customFormat="1" ht="17.25" customHeight="1">
      <c r="A47" s="152" t="s">
        <v>211</v>
      </c>
      <c r="B47" s="127" t="s">
        <v>207</v>
      </c>
      <c r="C47" s="154" t="s">
        <v>4</v>
      </c>
      <c r="D47" s="121">
        <f>D45*12</f>
        <v>17.910000000000004</v>
      </c>
      <c r="E47" s="223"/>
      <c r="F47" s="136">
        <f t="shared" si="2"/>
        <v>0</v>
      </c>
    </row>
    <row r="48" spans="1:6" s="29" customFormat="1" ht="17.25" customHeight="1">
      <c r="A48" s="152" t="s">
        <v>29</v>
      </c>
      <c r="B48" s="153" t="s">
        <v>212</v>
      </c>
      <c r="C48" s="154"/>
      <c r="D48" s="121"/>
      <c r="E48" s="222"/>
      <c r="F48" s="136"/>
    </row>
    <row r="49" spans="1:6" s="29" customFormat="1" ht="17.25" customHeight="1">
      <c r="A49" s="152" t="s">
        <v>213</v>
      </c>
      <c r="B49" s="153" t="s">
        <v>20</v>
      </c>
      <c r="C49" s="154" t="s">
        <v>10</v>
      </c>
      <c r="D49" s="121">
        <f>1.5*0.5*0.08</f>
        <v>0.06</v>
      </c>
      <c r="E49" s="223"/>
      <c r="F49" s="136">
        <f t="shared" si="2"/>
        <v>0</v>
      </c>
    </row>
    <row r="50" spans="1:6" s="29" customFormat="1" ht="17.25" customHeight="1">
      <c r="A50" s="152" t="s">
        <v>214</v>
      </c>
      <c r="B50" s="153" t="s">
        <v>22</v>
      </c>
      <c r="C50" s="154" t="s">
        <v>23</v>
      </c>
      <c r="D50" s="121">
        <f>D49*80</f>
        <v>4.8</v>
      </c>
      <c r="E50" s="223"/>
      <c r="F50" s="136">
        <f t="shared" si="2"/>
        <v>0</v>
      </c>
    </row>
    <row r="51" spans="1:6" s="29" customFormat="1" ht="17.25" customHeight="1">
      <c r="A51" s="152" t="s">
        <v>215</v>
      </c>
      <c r="B51" s="127" t="s">
        <v>207</v>
      </c>
      <c r="C51" s="154" t="s">
        <v>4</v>
      </c>
      <c r="D51" s="121">
        <f>D49*12</f>
        <v>0.72</v>
      </c>
      <c r="E51" s="223"/>
      <c r="F51" s="136">
        <f t="shared" si="2"/>
        <v>0</v>
      </c>
    </row>
    <row r="52" spans="1:6" s="29" customFormat="1" ht="17.25" customHeight="1">
      <c r="A52" s="152"/>
      <c r="B52" s="154"/>
      <c r="C52" s="154"/>
      <c r="D52" s="121"/>
      <c r="E52" s="222"/>
      <c r="F52" s="136"/>
    </row>
    <row r="53" spans="1:6" s="29" customFormat="1" ht="17.25" customHeight="1">
      <c r="A53" s="152" t="s">
        <v>216</v>
      </c>
      <c r="B53" s="158" t="s">
        <v>33</v>
      </c>
      <c r="C53" s="154"/>
      <c r="D53" s="121"/>
      <c r="E53" s="222"/>
      <c r="F53" s="136"/>
    </row>
    <row r="54" spans="1:6" s="29" customFormat="1" ht="17.25" customHeight="1">
      <c r="A54" s="152" t="s">
        <v>217</v>
      </c>
      <c r="B54" s="153" t="s">
        <v>218</v>
      </c>
      <c r="C54" s="154" t="s">
        <v>4</v>
      </c>
      <c r="D54" s="121">
        <f>D39*2</f>
        <v>141.17399999999998</v>
      </c>
      <c r="E54" s="222"/>
      <c r="F54" s="136">
        <f>D54*E54</f>
        <v>0</v>
      </c>
    </row>
    <row r="55" spans="1:6" s="29" customFormat="1" ht="17.25" customHeight="1">
      <c r="A55" s="152" t="s">
        <v>219</v>
      </c>
      <c r="B55" s="153" t="s">
        <v>220</v>
      </c>
      <c r="C55" s="154" t="s">
        <v>4</v>
      </c>
      <c r="D55" s="121">
        <v>0</v>
      </c>
      <c r="E55" s="222"/>
      <c r="F55" s="136">
        <f t="shared" ref="F55:F63" si="3">D55*E55</f>
        <v>0</v>
      </c>
    </row>
    <row r="56" spans="1:6" s="29" customFormat="1" ht="17.25" customHeight="1">
      <c r="A56" s="152" t="s">
        <v>221</v>
      </c>
      <c r="B56" s="153" t="s">
        <v>222</v>
      </c>
      <c r="C56" s="154" t="s">
        <v>282</v>
      </c>
      <c r="D56" s="121">
        <v>0</v>
      </c>
      <c r="E56" s="222"/>
      <c r="F56" s="136">
        <f t="shared" si="3"/>
        <v>0</v>
      </c>
    </row>
    <row r="57" spans="1:6" s="29" customFormat="1" ht="17.25" customHeight="1">
      <c r="A57" s="150" t="s">
        <v>6</v>
      </c>
      <c r="B57" s="159" t="s">
        <v>34</v>
      </c>
      <c r="C57" s="154"/>
      <c r="D57" s="121"/>
      <c r="E57" s="222"/>
      <c r="F57" s="136"/>
    </row>
    <row r="58" spans="1:6" s="29" customFormat="1" ht="17.25" customHeight="1">
      <c r="A58" s="152" t="s">
        <v>30</v>
      </c>
      <c r="B58" s="159" t="s">
        <v>35</v>
      </c>
      <c r="C58" s="154"/>
      <c r="D58" s="121"/>
      <c r="E58" s="222"/>
      <c r="F58" s="136"/>
    </row>
    <row r="59" spans="1:6" s="29" customFormat="1" ht="17.25" customHeight="1">
      <c r="A59" s="152" t="s">
        <v>223</v>
      </c>
      <c r="B59" s="153" t="s">
        <v>348</v>
      </c>
      <c r="C59" s="154" t="s">
        <v>9</v>
      </c>
      <c r="D59" s="121">
        <v>3</v>
      </c>
      <c r="E59" s="222"/>
      <c r="F59" s="136">
        <f t="shared" si="3"/>
        <v>0</v>
      </c>
    </row>
    <row r="60" spans="1:6" s="29" customFormat="1" ht="17.25" customHeight="1">
      <c r="A60" s="152" t="s">
        <v>31</v>
      </c>
      <c r="B60" s="159" t="s">
        <v>36</v>
      </c>
      <c r="C60" s="154"/>
      <c r="D60" s="121"/>
      <c r="E60" s="222"/>
      <c r="F60" s="136"/>
    </row>
    <row r="61" spans="1:6" s="29" customFormat="1" ht="17.25" customHeight="1">
      <c r="A61" s="152" t="s">
        <v>32</v>
      </c>
      <c r="B61" s="153" t="s">
        <v>64</v>
      </c>
      <c r="C61" s="154" t="s">
        <v>9</v>
      </c>
      <c r="D61" s="121">
        <v>1</v>
      </c>
      <c r="E61" s="222"/>
      <c r="F61" s="136">
        <f t="shared" si="3"/>
        <v>0</v>
      </c>
    </row>
    <row r="62" spans="1:6" s="29" customFormat="1" ht="17.25" customHeight="1">
      <c r="A62" s="152" t="s">
        <v>108</v>
      </c>
      <c r="B62" s="159" t="s">
        <v>224</v>
      </c>
      <c r="C62" s="154"/>
      <c r="D62" s="121"/>
      <c r="E62" s="222"/>
      <c r="F62" s="136"/>
    </row>
    <row r="63" spans="1:6" s="29" customFormat="1" ht="17.25" customHeight="1">
      <c r="A63" s="152" t="s">
        <v>109</v>
      </c>
      <c r="B63" s="160" t="s">
        <v>225</v>
      </c>
      <c r="C63" s="154" t="s">
        <v>9</v>
      </c>
      <c r="D63" s="121">
        <v>1</v>
      </c>
      <c r="E63" s="222"/>
      <c r="F63" s="136">
        <f t="shared" si="3"/>
        <v>0</v>
      </c>
    </row>
    <row r="64" spans="1:6" s="29" customFormat="1" ht="17.25" hidden="1" customHeight="1">
      <c r="A64" s="152" t="s">
        <v>226</v>
      </c>
      <c r="B64" s="161" t="s">
        <v>227</v>
      </c>
      <c r="C64" s="154"/>
      <c r="D64" s="121"/>
      <c r="E64" s="222"/>
      <c r="F64" s="136"/>
    </row>
    <row r="65" spans="1:6" s="29" customFormat="1" ht="17.25" hidden="1" customHeight="1">
      <c r="A65" s="152" t="s">
        <v>228</v>
      </c>
      <c r="B65" s="153" t="s">
        <v>229</v>
      </c>
      <c r="C65" s="154" t="s">
        <v>10</v>
      </c>
      <c r="D65" s="135">
        <v>0</v>
      </c>
      <c r="E65" s="225"/>
      <c r="F65" s="162">
        <v>0</v>
      </c>
    </row>
    <row r="66" spans="1:6" s="29" customFormat="1" ht="17.25" hidden="1" customHeight="1">
      <c r="A66" s="152" t="s">
        <v>230</v>
      </c>
      <c r="B66" s="153" t="s">
        <v>231</v>
      </c>
      <c r="C66" s="154" t="s">
        <v>10</v>
      </c>
      <c r="D66" s="135">
        <v>0</v>
      </c>
      <c r="E66" s="225"/>
      <c r="F66" s="162">
        <v>0</v>
      </c>
    </row>
    <row r="67" spans="1:6" s="29" customFormat="1" ht="17.25" hidden="1" customHeight="1">
      <c r="A67" s="152" t="s">
        <v>232</v>
      </c>
      <c r="B67" s="153" t="s">
        <v>233</v>
      </c>
      <c r="C67" s="154" t="s">
        <v>10</v>
      </c>
      <c r="D67" s="135">
        <v>0</v>
      </c>
      <c r="E67" s="225"/>
      <c r="F67" s="162">
        <v>0</v>
      </c>
    </row>
    <row r="68" spans="1:6" s="29" customFormat="1" ht="17.25" hidden="1" customHeight="1">
      <c r="A68" s="152" t="s">
        <v>234</v>
      </c>
      <c r="B68" s="153" t="s">
        <v>235</v>
      </c>
      <c r="C68" s="154" t="s">
        <v>4</v>
      </c>
      <c r="D68" s="135">
        <v>0</v>
      </c>
      <c r="E68" s="225"/>
      <c r="F68" s="162">
        <v>0</v>
      </c>
    </row>
    <row r="69" spans="1:6" s="29" customFormat="1" ht="17.25" hidden="1" customHeight="1">
      <c r="A69" s="152" t="s">
        <v>236</v>
      </c>
      <c r="B69" s="153" t="s">
        <v>237</v>
      </c>
      <c r="C69" s="154"/>
      <c r="D69" s="121"/>
      <c r="E69" s="222"/>
      <c r="F69" s="136"/>
    </row>
    <row r="70" spans="1:6" s="29" customFormat="1" ht="17.25" hidden="1" customHeight="1">
      <c r="A70" s="152" t="s">
        <v>238</v>
      </c>
      <c r="B70" s="153" t="s">
        <v>20</v>
      </c>
      <c r="C70" s="154" t="s">
        <v>10</v>
      </c>
      <c r="D70" s="135">
        <v>0</v>
      </c>
      <c r="E70" s="225"/>
      <c r="F70" s="162">
        <v>0</v>
      </c>
    </row>
    <row r="71" spans="1:6" s="29" customFormat="1" ht="17.25" hidden="1" customHeight="1">
      <c r="A71" s="152" t="s">
        <v>239</v>
      </c>
      <c r="B71" s="153" t="s">
        <v>240</v>
      </c>
      <c r="C71" s="154" t="s">
        <v>23</v>
      </c>
      <c r="D71" s="135">
        <v>0</v>
      </c>
      <c r="E71" s="225"/>
      <c r="F71" s="162">
        <v>0</v>
      </c>
    </row>
    <row r="72" spans="1:6" s="29" customFormat="1" ht="17.25" hidden="1" customHeight="1">
      <c r="A72" s="152" t="s">
        <v>241</v>
      </c>
      <c r="B72" s="153" t="s">
        <v>100</v>
      </c>
      <c r="C72" s="154" t="s">
        <v>4</v>
      </c>
      <c r="D72" s="135">
        <v>0</v>
      </c>
      <c r="E72" s="225"/>
      <c r="F72" s="162">
        <v>0</v>
      </c>
    </row>
    <row r="73" spans="1:6" s="29" customFormat="1" ht="17.25" hidden="1" customHeight="1">
      <c r="A73" s="152" t="s">
        <v>242</v>
      </c>
      <c r="B73" s="153" t="s">
        <v>243</v>
      </c>
      <c r="C73" s="154" t="s">
        <v>4</v>
      </c>
      <c r="D73" s="135">
        <v>0</v>
      </c>
      <c r="E73" s="225"/>
      <c r="F73" s="162">
        <v>0</v>
      </c>
    </row>
    <row r="74" spans="1:6" s="29" customFormat="1" ht="17.25" customHeight="1">
      <c r="A74" s="152"/>
      <c r="B74" s="145" t="s">
        <v>37</v>
      </c>
      <c r="C74" s="146"/>
      <c r="D74" s="147"/>
      <c r="E74" s="224"/>
      <c r="F74" s="148">
        <f>SUM(F21:F73)</f>
        <v>0</v>
      </c>
    </row>
    <row r="75" spans="1:6" s="29" customFormat="1" ht="15.5">
      <c r="A75" s="152"/>
      <c r="B75" s="163"/>
      <c r="C75" s="120"/>
      <c r="D75" s="135"/>
      <c r="E75" s="221"/>
      <c r="F75" s="136"/>
    </row>
    <row r="76" spans="1:6" s="29" customFormat="1" ht="15.5">
      <c r="A76" s="152"/>
      <c r="B76" s="131" t="s">
        <v>38</v>
      </c>
      <c r="C76" s="132"/>
      <c r="D76" s="133"/>
      <c r="E76" s="220"/>
      <c r="F76" s="134">
        <f>F74+F18</f>
        <v>0</v>
      </c>
    </row>
    <row r="77" spans="1:6" s="29" customFormat="1" ht="15.5">
      <c r="A77" s="152"/>
      <c r="B77" s="164"/>
      <c r="C77" s="120"/>
      <c r="D77" s="135"/>
      <c r="E77" s="221"/>
      <c r="F77" s="136"/>
    </row>
    <row r="78" spans="1:6" s="29" customFormat="1" ht="15.5">
      <c r="A78" s="122" t="s">
        <v>18</v>
      </c>
      <c r="B78" s="123" t="s">
        <v>39</v>
      </c>
      <c r="C78" s="124"/>
      <c r="D78" s="125"/>
      <c r="E78" s="218"/>
      <c r="F78" s="124"/>
    </row>
    <row r="79" spans="1:6" s="29" customFormat="1" ht="15.5">
      <c r="A79" s="152" t="s">
        <v>116</v>
      </c>
      <c r="B79" s="153" t="s">
        <v>117</v>
      </c>
      <c r="C79" s="154"/>
      <c r="D79" s="165"/>
      <c r="E79" s="226"/>
      <c r="F79" s="136"/>
    </row>
    <row r="80" spans="1:6" s="29" customFormat="1" ht="15.5">
      <c r="A80" s="152" t="s">
        <v>118</v>
      </c>
      <c r="B80" s="153" t="s">
        <v>244</v>
      </c>
      <c r="C80" s="154" t="s">
        <v>10</v>
      </c>
      <c r="D80" s="121">
        <f>(13*8)/100</f>
        <v>1.04</v>
      </c>
      <c r="E80" s="226"/>
      <c r="F80" s="136">
        <f t="shared" ref="F80" si="4">D80*E80</f>
        <v>0</v>
      </c>
    </row>
    <row r="81" spans="1:6" s="29" customFormat="1" ht="15.5">
      <c r="A81" s="118"/>
      <c r="B81" s="131" t="s">
        <v>40</v>
      </c>
      <c r="C81" s="132"/>
      <c r="D81" s="133"/>
      <c r="E81" s="220"/>
      <c r="F81" s="134">
        <f>SUM(F80:F80)</f>
        <v>0</v>
      </c>
    </row>
    <row r="82" spans="1:6" s="29" customFormat="1" ht="15.5">
      <c r="A82" s="118"/>
      <c r="B82" s="164"/>
      <c r="C82" s="120"/>
      <c r="D82" s="135"/>
      <c r="E82" s="221"/>
      <c r="F82" s="136"/>
    </row>
    <row r="83" spans="1:6" s="29" customFormat="1" ht="15.5">
      <c r="A83" s="122" t="s">
        <v>41</v>
      </c>
      <c r="B83" s="123" t="s">
        <v>42</v>
      </c>
      <c r="C83" s="124"/>
      <c r="D83" s="125"/>
      <c r="E83" s="218"/>
      <c r="F83" s="124"/>
    </row>
    <row r="84" spans="1:6" s="29" customFormat="1" ht="15.5">
      <c r="A84" s="152" t="s">
        <v>123</v>
      </c>
      <c r="B84" s="153" t="s">
        <v>43</v>
      </c>
      <c r="C84" s="120"/>
      <c r="D84" s="135"/>
      <c r="E84" s="221"/>
      <c r="F84" s="136"/>
    </row>
    <row r="85" spans="1:6" s="29" customFormat="1" ht="15.5">
      <c r="A85" s="152" t="s">
        <v>124</v>
      </c>
      <c r="B85" s="158" t="s">
        <v>44</v>
      </c>
      <c r="C85" s="120"/>
      <c r="D85" s="135"/>
      <c r="E85" s="221"/>
      <c r="F85" s="136"/>
    </row>
    <row r="86" spans="1:6" s="29" customFormat="1" ht="15.5">
      <c r="A86" s="152" t="s">
        <v>145</v>
      </c>
      <c r="B86" s="153" t="s">
        <v>454</v>
      </c>
      <c r="C86" s="154" t="s">
        <v>4</v>
      </c>
      <c r="D86" s="121">
        <f>2*4.5*13</f>
        <v>117</v>
      </c>
      <c r="E86" s="226"/>
      <c r="F86" s="136">
        <f>D86*E86</f>
        <v>0</v>
      </c>
    </row>
    <row r="87" spans="1:6" s="29" customFormat="1" ht="15.5">
      <c r="A87" s="152" t="s">
        <v>125</v>
      </c>
      <c r="B87" s="158" t="s">
        <v>126</v>
      </c>
      <c r="C87" s="154"/>
      <c r="D87" s="121"/>
      <c r="E87" s="226"/>
      <c r="F87" s="136"/>
    </row>
    <row r="88" spans="1:6" s="29" customFormat="1" ht="15.5">
      <c r="A88" s="152" t="s">
        <v>127</v>
      </c>
      <c r="B88" s="153" t="s">
        <v>245</v>
      </c>
      <c r="C88" s="154" t="s">
        <v>7</v>
      </c>
      <c r="D88" s="121">
        <v>13</v>
      </c>
      <c r="E88" s="226"/>
      <c r="F88" s="136">
        <f>D88*E88</f>
        <v>0</v>
      </c>
    </row>
    <row r="89" spans="1:6" s="29" customFormat="1" ht="15.5">
      <c r="A89" s="152" t="s">
        <v>246</v>
      </c>
      <c r="B89" s="158" t="s">
        <v>45</v>
      </c>
      <c r="C89" s="166"/>
      <c r="D89" s="167"/>
      <c r="E89" s="226"/>
      <c r="F89" s="136"/>
    </row>
    <row r="90" spans="1:6" s="29" customFormat="1" ht="15.5">
      <c r="A90" s="152" t="s">
        <v>247</v>
      </c>
      <c r="B90" s="153" t="s">
        <v>248</v>
      </c>
      <c r="C90" s="154" t="s">
        <v>4</v>
      </c>
      <c r="D90" s="121">
        <f>(4*4.5+13*2)*0.3</f>
        <v>13.2</v>
      </c>
      <c r="E90" s="226"/>
      <c r="F90" s="136">
        <f>D90*E90</f>
        <v>0</v>
      </c>
    </row>
    <row r="91" spans="1:6" s="29" customFormat="1" ht="17.25" customHeight="1">
      <c r="A91" s="118"/>
      <c r="B91" s="131" t="s">
        <v>46</v>
      </c>
      <c r="C91" s="132"/>
      <c r="D91" s="133"/>
      <c r="E91" s="220"/>
      <c r="F91" s="134">
        <f>SUM(F86:F90)</f>
        <v>0</v>
      </c>
    </row>
    <row r="92" spans="1:6" s="31" customFormat="1" ht="17.25" customHeight="1">
      <c r="A92" s="168"/>
      <c r="B92" s="169"/>
      <c r="C92" s="170"/>
      <c r="D92" s="171"/>
      <c r="E92" s="227"/>
      <c r="F92" s="130"/>
    </row>
    <row r="93" spans="1:6" s="29" customFormat="1" ht="15.5">
      <c r="A93" s="122" t="s">
        <v>47</v>
      </c>
      <c r="B93" s="123" t="s">
        <v>48</v>
      </c>
      <c r="C93" s="124"/>
      <c r="D93" s="125"/>
      <c r="E93" s="218"/>
      <c r="F93" s="124"/>
    </row>
    <row r="94" spans="1:6" s="29" customFormat="1" ht="15.5">
      <c r="A94" s="172" t="s">
        <v>49</v>
      </c>
      <c r="B94" s="158" t="s">
        <v>51</v>
      </c>
      <c r="C94" s="154"/>
      <c r="D94" s="165"/>
      <c r="E94" s="226"/>
      <c r="F94" s="136"/>
    </row>
    <row r="95" spans="1:6" s="29" customFormat="1" ht="15.5">
      <c r="A95" s="172" t="s">
        <v>50</v>
      </c>
      <c r="B95" s="153" t="s">
        <v>249</v>
      </c>
      <c r="C95" s="154" t="s">
        <v>182</v>
      </c>
      <c r="D95" s="121">
        <v>1</v>
      </c>
      <c r="E95" s="226"/>
      <c r="F95" s="136">
        <f>D95*E95</f>
        <v>0</v>
      </c>
    </row>
    <row r="96" spans="1:6" s="29" customFormat="1" ht="15.5">
      <c r="A96" s="118"/>
      <c r="B96" s="131" t="s">
        <v>52</v>
      </c>
      <c r="C96" s="132"/>
      <c r="D96" s="133"/>
      <c r="E96" s="220"/>
      <c r="F96" s="134">
        <f>SUM(F95)</f>
        <v>0</v>
      </c>
    </row>
    <row r="97" spans="1:6" s="29" customFormat="1" ht="15.5">
      <c r="A97" s="152"/>
      <c r="B97" s="139"/>
      <c r="C97" s="139"/>
      <c r="D97" s="173"/>
      <c r="E97" s="228"/>
      <c r="F97" s="136"/>
    </row>
    <row r="98" spans="1:6" s="29" customFormat="1" ht="15.5">
      <c r="A98" s="122" t="s">
        <v>53</v>
      </c>
      <c r="B98" s="123" t="s">
        <v>250</v>
      </c>
      <c r="C98" s="124"/>
      <c r="D98" s="125"/>
      <c r="E98" s="218"/>
      <c r="F98" s="124"/>
    </row>
    <row r="99" spans="1:6" s="29" customFormat="1" ht="20" customHeight="1">
      <c r="A99" s="172" t="s">
        <v>133</v>
      </c>
      <c r="B99" s="174" t="s">
        <v>251</v>
      </c>
      <c r="C99" s="154" t="s">
        <v>4</v>
      </c>
      <c r="D99" s="121">
        <f>8.45*3.9</f>
        <v>32.954999999999998</v>
      </c>
      <c r="E99" s="226"/>
      <c r="F99" s="175">
        <f>D99*E99</f>
        <v>0</v>
      </c>
    </row>
    <row r="100" spans="1:6" s="29" customFormat="1" ht="15.5">
      <c r="A100" s="172" t="s">
        <v>132</v>
      </c>
      <c r="B100" s="176" t="s">
        <v>252</v>
      </c>
      <c r="C100" s="154" t="s">
        <v>7</v>
      </c>
      <c r="D100" s="121">
        <f>49.75*4</f>
        <v>199</v>
      </c>
      <c r="E100" s="226"/>
      <c r="F100" s="136">
        <f>D100*E100</f>
        <v>0</v>
      </c>
    </row>
    <row r="101" spans="1:6" s="29" customFormat="1" ht="15.5">
      <c r="A101" s="172"/>
      <c r="B101" s="176"/>
      <c r="C101" s="120"/>
      <c r="D101" s="135"/>
      <c r="E101" s="221"/>
      <c r="F101" s="136"/>
    </row>
    <row r="102" spans="1:6" s="29" customFormat="1" ht="15.5">
      <c r="A102" s="152"/>
      <c r="B102" s="131" t="s">
        <v>253</v>
      </c>
      <c r="C102" s="177"/>
      <c r="D102" s="133"/>
      <c r="E102" s="220"/>
      <c r="F102" s="134">
        <f>SUM(F99:F101)</f>
        <v>0</v>
      </c>
    </row>
    <row r="103" spans="1:6" s="29" customFormat="1" ht="15.5">
      <c r="A103" s="152"/>
      <c r="B103" s="178"/>
      <c r="C103" s="120"/>
      <c r="D103" s="135"/>
      <c r="E103" s="221"/>
      <c r="F103" s="136"/>
    </row>
    <row r="104" spans="1:6" s="29" customFormat="1" ht="15.5">
      <c r="A104" s="122" t="s">
        <v>72</v>
      </c>
      <c r="B104" s="123" t="s">
        <v>55</v>
      </c>
      <c r="C104" s="124"/>
      <c r="D104" s="125"/>
      <c r="E104" s="218"/>
      <c r="F104" s="124"/>
    </row>
    <row r="105" spans="1:6" s="29" customFormat="1" ht="15.5">
      <c r="A105" s="152" t="s">
        <v>132</v>
      </c>
      <c r="B105" s="158" t="s">
        <v>254</v>
      </c>
      <c r="C105" s="120"/>
      <c r="D105" s="135"/>
      <c r="E105" s="221"/>
      <c r="F105" s="136"/>
    </row>
    <row r="106" spans="1:6" s="29" customFormat="1" ht="15.5">
      <c r="A106" s="152" t="s">
        <v>163</v>
      </c>
      <c r="B106" s="153" t="s">
        <v>255</v>
      </c>
      <c r="C106" s="120"/>
      <c r="D106" s="135"/>
      <c r="E106" s="221"/>
      <c r="F106" s="136"/>
    </row>
    <row r="107" spans="1:6" s="29" customFormat="1" ht="15.5">
      <c r="A107" s="152" t="s">
        <v>256</v>
      </c>
      <c r="B107" s="153" t="s">
        <v>257</v>
      </c>
      <c r="C107" s="154" t="s">
        <v>9</v>
      </c>
      <c r="D107" s="121">
        <v>2</v>
      </c>
      <c r="E107" s="226"/>
      <c r="F107" s="136">
        <f>D107*E107</f>
        <v>0</v>
      </c>
    </row>
    <row r="108" spans="1:6" s="29" customFormat="1" ht="15.5">
      <c r="A108" s="152" t="s">
        <v>258</v>
      </c>
      <c r="B108" s="153" t="s">
        <v>259</v>
      </c>
      <c r="C108" s="154" t="s">
        <v>9</v>
      </c>
      <c r="D108" s="121">
        <v>2</v>
      </c>
      <c r="E108" s="226"/>
      <c r="F108" s="136">
        <f t="shared" ref="F108:F110" si="5">D108*E108</f>
        <v>0</v>
      </c>
    </row>
    <row r="109" spans="1:6" s="29" customFormat="1" ht="15.5">
      <c r="A109" s="152" t="s">
        <v>133</v>
      </c>
      <c r="B109" s="158" t="s">
        <v>260</v>
      </c>
      <c r="C109" s="154"/>
      <c r="D109" s="121"/>
      <c r="E109" s="226"/>
      <c r="F109" s="136"/>
    </row>
    <row r="110" spans="1:6" s="29" customFormat="1" ht="15.5">
      <c r="A110" s="152" t="s">
        <v>164</v>
      </c>
      <c r="B110" s="153" t="s">
        <v>261</v>
      </c>
      <c r="C110" s="154" t="s">
        <v>9</v>
      </c>
      <c r="D110" s="121">
        <v>2</v>
      </c>
      <c r="E110" s="226"/>
      <c r="F110" s="136">
        <f t="shared" si="5"/>
        <v>0</v>
      </c>
    </row>
    <row r="111" spans="1:6" s="29" customFormat="1" ht="15.5">
      <c r="A111" s="179"/>
      <c r="B111" s="131" t="s">
        <v>56</v>
      </c>
      <c r="C111" s="180"/>
      <c r="D111" s="133"/>
      <c r="E111" s="220"/>
      <c r="F111" s="134">
        <f>SUM(F107:F110)</f>
        <v>0</v>
      </c>
    </row>
    <row r="112" spans="1:6" s="31" customFormat="1" ht="15.5">
      <c r="A112" s="181"/>
      <c r="B112" s="169"/>
      <c r="C112" s="182"/>
      <c r="D112" s="171"/>
      <c r="E112" s="227"/>
      <c r="F112" s="130"/>
    </row>
    <row r="113" spans="1:8" s="2" customFormat="1" ht="15.5">
      <c r="A113" s="122" t="s">
        <v>54</v>
      </c>
      <c r="B113" s="123" t="s">
        <v>65</v>
      </c>
      <c r="C113" s="124"/>
      <c r="D113" s="125"/>
      <c r="E113" s="218"/>
      <c r="F113" s="124"/>
    </row>
    <row r="114" spans="1:8" s="2" customFormat="1" ht="15.5">
      <c r="A114" s="152" t="s">
        <v>262</v>
      </c>
      <c r="B114" s="183" t="s">
        <v>66</v>
      </c>
      <c r="C114" s="154"/>
      <c r="D114" s="121"/>
      <c r="E114" s="221"/>
      <c r="F114" s="136"/>
    </row>
    <row r="115" spans="1:8" s="2" customFormat="1" ht="18" customHeight="1">
      <c r="A115" s="152" t="s">
        <v>263</v>
      </c>
      <c r="B115" s="184" t="s">
        <v>264</v>
      </c>
      <c r="C115" s="154" t="s">
        <v>4</v>
      </c>
      <c r="D115" s="121">
        <v>5</v>
      </c>
      <c r="E115" s="221"/>
      <c r="F115" s="136">
        <f t="shared" ref="F115:F116" si="6">D115*E115</f>
        <v>0</v>
      </c>
    </row>
    <row r="116" spans="1:8" s="2" customFormat="1" ht="18" customHeight="1">
      <c r="A116" s="152" t="s">
        <v>265</v>
      </c>
      <c r="B116" s="184" t="s">
        <v>266</v>
      </c>
      <c r="C116" s="154" t="s">
        <v>4</v>
      </c>
      <c r="D116" s="121">
        <v>0</v>
      </c>
      <c r="E116" s="221"/>
      <c r="F116" s="136">
        <f t="shared" si="6"/>
        <v>0</v>
      </c>
    </row>
    <row r="117" spans="1:8" s="2" customFormat="1" ht="15.5">
      <c r="A117" s="179"/>
      <c r="B117" s="131" t="s">
        <v>67</v>
      </c>
      <c r="C117" s="180"/>
      <c r="D117" s="133"/>
      <c r="E117" s="220"/>
      <c r="F117" s="134">
        <f>SUM(F114:F116)</f>
        <v>0</v>
      </c>
    </row>
    <row r="118" spans="1:8" s="29" customFormat="1" ht="15.5">
      <c r="A118" s="179"/>
      <c r="B118" s="230"/>
      <c r="C118" s="185"/>
      <c r="D118" s="135"/>
      <c r="E118" s="221"/>
      <c r="F118" s="136"/>
    </row>
    <row r="119" spans="1:8" s="29" customFormat="1" ht="15.5">
      <c r="A119" s="122" t="s">
        <v>73</v>
      </c>
      <c r="B119" s="123" t="s">
        <v>11</v>
      </c>
      <c r="C119" s="124"/>
      <c r="D119" s="125"/>
      <c r="E119" s="218"/>
      <c r="F119" s="124"/>
    </row>
    <row r="120" spans="1:8" s="29" customFormat="1" ht="15.5">
      <c r="A120" s="152" t="s">
        <v>144</v>
      </c>
      <c r="B120" s="186" t="s">
        <v>62</v>
      </c>
      <c r="C120" s="154"/>
      <c r="D120" s="165"/>
      <c r="E120" s="226"/>
      <c r="F120" s="136"/>
    </row>
    <row r="121" spans="1:8" s="29" customFormat="1" ht="15.5">
      <c r="A121" s="152" t="s">
        <v>165</v>
      </c>
      <c r="B121" s="153" t="s">
        <v>267</v>
      </c>
      <c r="C121" s="154" t="s">
        <v>4</v>
      </c>
      <c r="D121" s="121">
        <f>(7.45*3.57+3.55*3.57*2)+(7.4*2*1+7.45*1)</f>
        <v>74.1935</v>
      </c>
      <c r="E121" s="226"/>
      <c r="F121" s="136">
        <f t="shared" ref="F121:F127" si="7">D121*E121</f>
        <v>0</v>
      </c>
    </row>
    <row r="122" spans="1:8" s="29" customFormat="1" ht="15.5">
      <c r="A122" s="152" t="s">
        <v>268</v>
      </c>
      <c r="B122" s="153" t="s">
        <v>269</v>
      </c>
      <c r="C122" s="154" t="s">
        <v>4</v>
      </c>
      <c r="D122" s="121">
        <f>49.75*1</f>
        <v>49.75</v>
      </c>
      <c r="E122" s="226"/>
      <c r="F122" s="136">
        <f t="shared" si="7"/>
        <v>0</v>
      </c>
    </row>
    <row r="123" spans="1:8" s="29" customFormat="1" ht="15.5">
      <c r="A123" s="152" t="s">
        <v>270</v>
      </c>
      <c r="B123" s="158" t="s">
        <v>63</v>
      </c>
      <c r="C123" s="154"/>
      <c r="D123" s="121"/>
      <c r="E123" s="226"/>
      <c r="F123" s="136"/>
      <c r="H123" s="288"/>
    </row>
    <row r="124" spans="1:8" s="29" customFormat="1" ht="15.5">
      <c r="A124" s="152" t="s">
        <v>271</v>
      </c>
      <c r="B124" s="153" t="s">
        <v>272</v>
      </c>
      <c r="C124" s="154" t="s">
        <v>4</v>
      </c>
      <c r="D124" s="121">
        <f>D121+3.4*3*2</f>
        <v>94.593500000000006</v>
      </c>
      <c r="E124" s="226"/>
      <c r="F124" s="136">
        <f t="shared" si="7"/>
        <v>0</v>
      </c>
    </row>
    <row r="125" spans="1:8" s="29" customFormat="1" ht="15.5">
      <c r="A125" s="152" t="s">
        <v>273</v>
      </c>
      <c r="B125" s="153" t="s">
        <v>274</v>
      </c>
      <c r="C125" s="154" t="s">
        <v>4</v>
      </c>
      <c r="D125" s="121">
        <f>D99+1.5</f>
        <v>34.454999999999998</v>
      </c>
      <c r="E125" s="226"/>
      <c r="F125" s="136">
        <f t="shared" si="7"/>
        <v>0</v>
      </c>
    </row>
    <row r="126" spans="1:8" s="29" customFormat="1" ht="15.5">
      <c r="A126" s="172" t="s">
        <v>275</v>
      </c>
      <c r="B126" s="158" t="s">
        <v>57</v>
      </c>
      <c r="C126" s="154"/>
      <c r="D126" s="121"/>
      <c r="E126" s="226"/>
      <c r="F126" s="136"/>
    </row>
    <row r="127" spans="1:8" s="29" customFormat="1" ht="15.5">
      <c r="A127" s="172" t="s">
        <v>276</v>
      </c>
      <c r="B127" s="153" t="s">
        <v>277</v>
      </c>
      <c r="C127" s="154" t="s">
        <v>4</v>
      </c>
      <c r="D127" s="121">
        <f>0.9*2.1*2*2+0.9*4</f>
        <v>11.16</v>
      </c>
      <c r="E127" s="226"/>
      <c r="F127" s="136">
        <f t="shared" si="7"/>
        <v>0</v>
      </c>
    </row>
    <row r="128" spans="1:8" s="29" customFormat="1" ht="15.5">
      <c r="A128" s="179"/>
      <c r="B128" s="131" t="s">
        <v>58</v>
      </c>
      <c r="C128" s="180"/>
      <c r="D128" s="133"/>
      <c r="E128" s="220"/>
      <c r="F128" s="134">
        <f>SUM(F121:F127)</f>
        <v>0</v>
      </c>
    </row>
    <row r="129" spans="1:6" s="29" customFormat="1" ht="15.5">
      <c r="A129" s="415"/>
      <c r="B129" s="416"/>
      <c r="C129" s="416"/>
      <c r="D129" s="416"/>
      <c r="E129" s="416"/>
      <c r="F129" s="416"/>
    </row>
    <row r="130" spans="1:6" s="29" customFormat="1" ht="20.25" customHeight="1">
      <c r="A130" s="417" t="s">
        <v>278</v>
      </c>
      <c r="B130" s="418"/>
      <c r="C130" s="418"/>
      <c r="D130" s="253"/>
      <c r="E130" s="195"/>
      <c r="F130" s="187">
        <f>F128+F111+F102+F96+F91+F81+F76+F117+F11</f>
        <v>0</v>
      </c>
    </row>
    <row r="131" spans="1:6" s="29" customFormat="1" ht="15.5">
      <c r="A131" s="415"/>
      <c r="B131" s="416"/>
      <c r="C131" s="416"/>
      <c r="D131" s="416"/>
      <c r="E131" s="416"/>
      <c r="F131" s="416"/>
    </row>
    <row r="132" spans="1:6" s="29" customFormat="1" ht="20.25" customHeight="1">
      <c r="A132" s="417" t="s">
        <v>345</v>
      </c>
      <c r="B132" s="418"/>
      <c r="C132" s="418"/>
      <c r="D132" s="196">
        <v>0.15</v>
      </c>
      <c r="E132" s="195"/>
      <c r="F132" s="187">
        <f>F130*D132</f>
        <v>0</v>
      </c>
    </row>
    <row r="133" spans="1:6" s="29" customFormat="1" ht="15.5">
      <c r="A133" s="407"/>
      <c r="B133" s="408"/>
      <c r="C133" s="409"/>
      <c r="D133" s="409"/>
      <c r="E133" s="409"/>
      <c r="F133" s="409"/>
    </row>
    <row r="134" spans="1:6" s="29" customFormat="1" ht="24.75" customHeight="1">
      <c r="A134" s="407" t="s">
        <v>279</v>
      </c>
      <c r="B134" s="408"/>
      <c r="C134" s="409"/>
      <c r="D134" s="409"/>
      <c r="E134" s="410">
        <f>F130+F132</f>
        <v>0</v>
      </c>
      <c r="F134" s="410"/>
    </row>
    <row r="135" spans="1:6" s="29" customFormat="1" ht="15.5">
      <c r="A135" s="102"/>
      <c r="B135" s="102"/>
      <c r="C135" s="103"/>
      <c r="D135" s="104"/>
      <c r="E135" s="103"/>
      <c r="F135" s="103"/>
    </row>
  </sheetData>
  <sheetProtection selectLockedCells="1"/>
  <mergeCells count="9">
    <mergeCell ref="A133:F133"/>
    <mergeCell ref="A134:D134"/>
    <mergeCell ref="E134:F134"/>
    <mergeCell ref="A1:F1"/>
    <mergeCell ref="A3:F3"/>
    <mergeCell ref="A129:F129"/>
    <mergeCell ref="A130:C130"/>
    <mergeCell ref="A131:F131"/>
    <mergeCell ref="A132:C132"/>
  </mergeCells>
  <pageMargins left="0.7" right="0.7" top="0.75" bottom="0.75" header="0.3" footer="0.3"/>
  <pageSetup paperSize="9" scale="78" orientation="portrait" r:id="rId1"/>
  <rowBreaks count="1" manualBreakCount="1">
    <brk id="119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23EC-B531-4AC0-BD81-1FE5C750BAF9}">
  <dimension ref="A3:F116"/>
  <sheetViews>
    <sheetView view="pageBreakPreview" topLeftCell="A98" zoomScale="90" zoomScaleNormal="100" zoomScaleSheetLayoutView="90" workbookViewId="0">
      <selection activeCell="H112" sqref="H112"/>
    </sheetView>
  </sheetViews>
  <sheetFormatPr baseColWidth="10" defaultRowHeight="14.5"/>
  <cols>
    <col min="2" max="2" width="61.1796875" bestFit="1" customWidth="1"/>
    <col min="3" max="3" width="8.1796875" customWidth="1"/>
    <col min="6" max="6" width="14.1796875" customWidth="1"/>
  </cols>
  <sheetData>
    <row r="3" spans="1:6" s="2" customFormat="1" ht="26" customHeight="1">
      <c r="A3" s="419" t="s">
        <v>445</v>
      </c>
      <c r="B3" s="420"/>
      <c r="C3" s="420"/>
      <c r="D3" s="420"/>
      <c r="E3" s="420"/>
      <c r="F3" s="421"/>
    </row>
    <row r="4" spans="1:6" s="270" customFormat="1" ht="42">
      <c r="A4" s="401" t="s">
        <v>12</v>
      </c>
      <c r="B4" s="400" t="s">
        <v>8</v>
      </c>
      <c r="C4" s="398" t="s">
        <v>0</v>
      </c>
      <c r="D4" s="398" t="s">
        <v>2</v>
      </c>
      <c r="E4" s="399" t="s">
        <v>3</v>
      </c>
      <c r="F4" s="398" t="s">
        <v>1</v>
      </c>
    </row>
    <row r="5" spans="1:6" s="2" customFormat="1" ht="15.5">
      <c r="A5" s="374"/>
      <c r="B5" s="271"/>
      <c r="C5" s="272"/>
      <c r="D5" s="273"/>
      <c r="E5" s="354"/>
      <c r="F5" s="273"/>
    </row>
    <row r="6" spans="1:6" s="2" customFormat="1" ht="18" customHeight="1">
      <c r="A6" s="360" t="s">
        <v>13</v>
      </c>
      <c r="B6" s="274" t="s">
        <v>286</v>
      </c>
      <c r="C6" s="275"/>
      <c r="D6" s="276"/>
      <c r="E6" s="359"/>
      <c r="F6" s="276"/>
    </row>
    <row r="7" spans="1:6" s="2" customFormat="1" ht="18" customHeight="1">
      <c r="A7" s="358"/>
      <c r="B7" s="392"/>
      <c r="C7" s="277"/>
      <c r="D7" s="277"/>
      <c r="E7" s="354"/>
      <c r="F7" s="278"/>
    </row>
    <row r="8" spans="1:6" s="2" customFormat="1" ht="18" customHeight="1">
      <c r="A8" s="397" t="s">
        <v>5</v>
      </c>
      <c r="B8" s="391" t="s">
        <v>444</v>
      </c>
      <c r="C8" s="277"/>
      <c r="D8" s="277"/>
      <c r="E8" s="354"/>
      <c r="F8" s="278"/>
    </row>
    <row r="9" spans="1:6" s="2" customFormat="1" ht="18" customHeight="1">
      <c r="A9" s="358" t="s">
        <v>287</v>
      </c>
      <c r="B9" s="355" t="s">
        <v>443</v>
      </c>
      <c r="C9" s="277" t="s">
        <v>10</v>
      </c>
      <c r="D9" s="277">
        <f>2*2.56*3</f>
        <v>15.36</v>
      </c>
      <c r="E9" s="354"/>
      <c r="F9" s="278">
        <f>D9*E9</f>
        <v>0</v>
      </c>
    </row>
    <row r="10" spans="1:6" s="2" customFormat="1" ht="18" customHeight="1">
      <c r="A10" s="358" t="s">
        <v>288</v>
      </c>
      <c r="B10" s="355" t="s">
        <v>442</v>
      </c>
      <c r="C10" s="277" t="s">
        <v>10</v>
      </c>
      <c r="D10" s="277">
        <v>3.5</v>
      </c>
      <c r="E10" s="354"/>
      <c r="F10" s="278">
        <f>D10*E10</f>
        <v>0</v>
      </c>
    </row>
    <row r="11" spans="1:6" s="2" customFormat="1" ht="18" customHeight="1">
      <c r="A11" s="386"/>
      <c r="B11" s="396" t="s">
        <v>289</v>
      </c>
      <c r="C11" s="395"/>
      <c r="D11" s="395"/>
      <c r="E11" s="394"/>
      <c r="F11" s="381">
        <f>SUM(F9:F10)</f>
        <v>0</v>
      </c>
    </row>
    <row r="12" spans="1:6" s="2" customFormat="1" ht="9.65" customHeight="1">
      <c r="A12" s="358"/>
      <c r="B12" s="392"/>
      <c r="C12" s="277"/>
      <c r="D12" s="277"/>
      <c r="E12" s="354"/>
      <c r="F12" s="278"/>
    </row>
    <row r="13" spans="1:6" s="2" customFormat="1" ht="18">
      <c r="A13" s="374"/>
      <c r="B13" s="393" t="s">
        <v>290</v>
      </c>
      <c r="C13" s="279"/>
      <c r="D13" s="280"/>
      <c r="E13" s="351"/>
      <c r="F13" s="281">
        <f>F11</f>
        <v>0</v>
      </c>
    </row>
    <row r="14" spans="1:6" s="2" customFormat="1" ht="15.5">
      <c r="A14" s="374"/>
      <c r="B14" s="271"/>
      <c r="C14" s="272"/>
      <c r="D14" s="278"/>
      <c r="E14" s="361"/>
      <c r="F14" s="278"/>
    </row>
    <row r="15" spans="1:6" s="2" customFormat="1" ht="15.5">
      <c r="A15" s="360" t="s">
        <v>14</v>
      </c>
      <c r="B15" s="274" t="s">
        <v>15</v>
      </c>
      <c r="C15" s="275"/>
      <c r="D15" s="276"/>
      <c r="E15" s="359"/>
      <c r="F15" s="276"/>
    </row>
    <row r="16" spans="1:6" s="2" customFormat="1" ht="17.25" customHeight="1">
      <c r="A16" s="358"/>
      <c r="B16" s="392"/>
      <c r="C16" s="277"/>
      <c r="D16" s="277"/>
      <c r="E16" s="387"/>
      <c r="F16" s="278"/>
    </row>
    <row r="17" spans="1:6" s="2" customFormat="1" ht="17.25" customHeight="1">
      <c r="A17" s="358" t="s">
        <v>79</v>
      </c>
      <c r="B17" s="391" t="s">
        <v>291</v>
      </c>
      <c r="C17" s="277"/>
      <c r="D17" s="277"/>
      <c r="E17" s="361"/>
      <c r="F17" s="278"/>
    </row>
    <row r="18" spans="1:6" s="2" customFormat="1" ht="15.5">
      <c r="A18" s="358" t="s">
        <v>292</v>
      </c>
      <c r="B18" s="390" t="s">
        <v>19</v>
      </c>
      <c r="C18" s="277"/>
      <c r="D18" s="277"/>
      <c r="E18" s="361"/>
      <c r="F18" s="278"/>
    </row>
    <row r="19" spans="1:6" s="2" customFormat="1" ht="18" customHeight="1">
      <c r="A19" s="358" t="s">
        <v>293</v>
      </c>
      <c r="B19" s="355" t="s">
        <v>294</v>
      </c>
      <c r="C19" s="277" t="s">
        <v>4</v>
      </c>
      <c r="D19" s="277">
        <f>(1.5*3+2.09*2)*2.85</f>
        <v>24.738</v>
      </c>
      <c r="E19" s="354"/>
      <c r="F19" s="278">
        <f>D19*E19</f>
        <v>0</v>
      </c>
    </row>
    <row r="20" spans="1:6" s="2" customFormat="1" ht="18" customHeight="1">
      <c r="A20" s="358" t="s">
        <v>295</v>
      </c>
      <c r="B20" s="355" t="s">
        <v>296</v>
      </c>
      <c r="C20" s="277"/>
      <c r="D20" s="277"/>
      <c r="E20" s="354"/>
      <c r="F20" s="278"/>
    </row>
    <row r="21" spans="1:6" s="2" customFormat="1" ht="18" customHeight="1">
      <c r="A21" s="358"/>
      <c r="B21" s="355" t="s">
        <v>20</v>
      </c>
      <c r="C21" s="277" t="s">
        <v>10</v>
      </c>
      <c r="D21" s="277">
        <f>4*0.15*0.2*2.85</f>
        <v>0.34199999999999997</v>
      </c>
      <c r="E21" s="354"/>
      <c r="F21" s="278">
        <f>D21*E21</f>
        <v>0</v>
      </c>
    </row>
    <row r="22" spans="1:6" s="2" customFormat="1" ht="18" customHeight="1">
      <c r="A22" s="358"/>
      <c r="B22" s="355" t="s">
        <v>61</v>
      </c>
      <c r="C22" s="277" t="s">
        <v>23</v>
      </c>
      <c r="D22" s="277">
        <f>D21*70</f>
        <v>23.939999999999998</v>
      </c>
      <c r="E22" s="354"/>
      <c r="F22" s="278">
        <f>D22*E22</f>
        <v>0</v>
      </c>
    </row>
    <row r="23" spans="1:6" s="2" customFormat="1" ht="18" customHeight="1">
      <c r="A23" s="358"/>
      <c r="B23" s="355" t="s">
        <v>21</v>
      </c>
      <c r="C23" s="277" t="s">
        <v>4</v>
      </c>
      <c r="D23" s="277">
        <f>D21*12</f>
        <v>4.1039999999999992</v>
      </c>
      <c r="E23" s="354"/>
      <c r="F23" s="278">
        <f>D23*E23</f>
        <v>0</v>
      </c>
    </row>
    <row r="24" spans="1:6" s="2" customFormat="1" ht="18" customHeight="1">
      <c r="A24" s="358"/>
      <c r="B24" s="355" t="s">
        <v>363</v>
      </c>
      <c r="C24" s="277" t="s">
        <v>4</v>
      </c>
      <c r="D24" s="277">
        <f>(2*4+1.8*2)*2.85</f>
        <v>33.06</v>
      </c>
      <c r="E24" s="354"/>
      <c r="F24" s="278">
        <f>D24*E24</f>
        <v>0</v>
      </c>
    </row>
    <row r="25" spans="1:6" s="2" customFormat="1" ht="18" customHeight="1">
      <c r="A25" s="358" t="s">
        <v>297</v>
      </c>
      <c r="B25" s="389" t="s">
        <v>298</v>
      </c>
      <c r="C25" s="277"/>
      <c r="D25" s="277"/>
      <c r="E25" s="354"/>
      <c r="F25" s="278"/>
    </row>
    <row r="26" spans="1:6" s="2" customFormat="1" ht="18" customHeight="1">
      <c r="A26" s="358"/>
      <c r="B26" s="355" t="s">
        <v>20</v>
      </c>
      <c r="C26" s="277" t="s">
        <v>10</v>
      </c>
      <c r="D26" s="277">
        <f>1.8*2</f>
        <v>3.6</v>
      </c>
      <c r="E26" s="354"/>
      <c r="F26" s="278">
        <f>D26*E26</f>
        <v>0</v>
      </c>
    </row>
    <row r="27" spans="1:6" s="2" customFormat="1" ht="18" customHeight="1">
      <c r="A27" s="358"/>
      <c r="B27" s="355" t="s">
        <v>299</v>
      </c>
      <c r="C27" s="277" t="s">
        <v>23</v>
      </c>
      <c r="D27" s="277">
        <f>D26*12</f>
        <v>43.2</v>
      </c>
      <c r="E27" s="354"/>
      <c r="F27" s="278">
        <f>D27*E27</f>
        <v>0</v>
      </c>
    </row>
    <row r="28" spans="1:6" s="2" customFormat="1" ht="18" customHeight="1">
      <c r="A28" s="358" t="s">
        <v>300</v>
      </c>
      <c r="B28" s="389" t="s">
        <v>441</v>
      </c>
      <c r="C28" s="277"/>
      <c r="D28" s="277"/>
      <c r="E28" s="354"/>
      <c r="F28" s="278"/>
    </row>
    <row r="29" spans="1:6" s="2" customFormat="1" ht="18" customHeight="1">
      <c r="A29" s="358"/>
      <c r="B29" s="355" t="s">
        <v>301</v>
      </c>
      <c r="C29" s="277" t="s">
        <v>10</v>
      </c>
      <c r="D29" s="277">
        <f>2*1.8*0.1</f>
        <v>0.36000000000000004</v>
      </c>
      <c r="E29" s="354"/>
      <c r="F29" s="278">
        <f>D29*E29</f>
        <v>0</v>
      </c>
    </row>
    <row r="30" spans="1:6" s="2" customFormat="1" ht="18" customHeight="1">
      <c r="A30" s="358"/>
      <c r="B30" s="355" t="s">
        <v>302</v>
      </c>
      <c r="C30" s="277" t="s">
        <v>23</v>
      </c>
      <c r="D30" s="277">
        <f>D29*80</f>
        <v>28.800000000000004</v>
      </c>
      <c r="E30" s="354"/>
      <c r="F30" s="278">
        <f>D30*E30</f>
        <v>0</v>
      </c>
    </row>
    <row r="31" spans="1:6" s="2" customFormat="1" ht="18" customHeight="1">
      <c r="A31" s="358"/>
      <c r="B31" s="355" t="s">
        <v>303</v>
      </c>
      <c r="C31" s="277" t="s">
        <v>4</v>
      </c>
      <c r="D31" s="277">
        <f>D29*12</f>
        <v>4.32</v>
      </c>
      <c r="E31" s="354"/>
      <c r="F31" s="278">
        <f>D31*E31</f>
        <v>0</v>
      </c>
    </row>
    <row r="32" spans="1:6" s="2" customFormat="1" ht="18" customHeight="1">
      <c r="A32" s="358" t="s">
        <v>364</v>
      </c>
      <c r="B32" s="355" t="s">
        <v>365</v>
      </c>
      <c r="C32" s="277" t="s">
        <v>4</v>
      </c>
      <c r="D32" s="277">
        <f>2*1.8</f>
        <v>3.6</v>
      </c>
      <c r="E32" s="354"/>
      <c r="F32" s="278">
        <f>D32*E32</f>
        <v>0</v>
      </c>
    </row>
    <row r="33" spans="1:6" s="2" customFormat="1" ht="17.25" customHeight="1">
      <c r="A33" s="358" t="s">
        <v>304</v>
      </c>
      <c r="B33" s="355" t="s">
        <v>25</v>
      </c>
      <c r="C33" s="379"/>
      <c r="D33" s="379"/>
      <c r="E33" s="387"/>
      <c r="F33" s="278"/>
    </row>
    <row r="34" spans="1:6" s="2" customFormat="1" ht="17.25" customHeight="1">
      <c r="A34" s="358" t="s">
        <v>305</v>
      </c>
      <c r="B34" s="389" t="s">
        <v>440</v>
      </c>
      <c r="C34" s="277" t="s">
        <v>4</v>
      </c>
      <c r="D34" s="277">
        <f>(2*4+3*2)*2.5-(0.7*1.8*2+0.6*0.6*2)+1.8*2</f>
        <v>35.36</v>
      </c>
      <c r="E34" s="387"/>
      <c r="F34" s="278">
        <f>D34*E34</f>
        <v>0</v>
      </c>
    </row>
    <row r="35" spans="1:6" s="2" customFormat="1" ht="17.25" customHeight="1">
      <c r="A35" s="358" t="s">
        <v>306</v>
      </c>
      <c r="B35" s="389" t="s">
        <v>307</v>
      </c>
      <c r="C35" s="277"/>
      <c r="D35" s="277"/>
      <c r="E35" s="387"/>
      <c r="F35" s="278"/>
    </row>
    <row r="36" spans="1:6" s="2" customFormat="1" ht="17.25" customHeight="1">
      <c r="A36" s="358"/>
      <c r="B36" s="355" t="s">
        <v>20</v>
      </c>
      <c r="C36" s="277" t="s">
        <v>10</v>
      </c>
      <c r="D36" s="277">
        <f>0.15*0.15*4*2.5</f>
        <v>0.22499999999999998</v>
      </c>
      <c r="E36" s="354"/>
      <c r="F36" s="278">
        <f>D36*E36</f>
        <v>0</v>
      </c>
    </row>
    <row r="37" spans="1:6" s="2" customFormat="1" ht="17.25" customHeight="1">
      <c r="A37" s="358"/>
      <c r="B37" s="355" t="s">
        <v>22</v>
      </c>
      <c r="C37" s="277" t="s">
        <v>23</v>
      </c>
      <c r="D37" s="277">
        <f>D36*80</f>
        <v>18</v>
      </c>
      <c r="E37" s="354"/>
      <c r="F37" s="278">
        <f>D37*E37</f>
        <v>0</v>
      </c>
    </row>
    <row r="38" spans="1:6" s="2" customFormat="1" ht="17.25" customHeight="1">
      <c r="A38" s="358"/>
      <c r="B38" s="355" t="s">
        <v>21</v>
      </c>
      <c r="C38" s="277" t="s">
        <v>4</v>
      </c>
      <c r="D38" s="277">
        <f>D36*12</f>
        <v>2.6999999999999997</v>
      </c>
      <c r="E38" s="354"/>
      <c r="F38" s="278">
        <f>D38*E38</f>
        <v>0</v>
      </c>
    </row>
    <row r="39" spans="1:6" s="2" customFormat="1" ht="17.25" customHeight="1">
      <c r="A39" s="358" t="s">
        <v>308</v>
      </c>
      <c r="B39" s="389" t="s">
        <v>309</v>
      </c>
      <c r="C39" s="277"/>
      <c r="D39" s="277"/>
      <c r="E39" s="387"/>
      <c r="F39" s="278"/>
    </row>
    <row r="40" spans="1:6" s="2" customFormat="1" ht="17.25" customHeight="1">
      <c r="A40" s="358"/>
      <c r="B40" s="355" t="s">
        <v>20</v>
      </c>
      <c r="C40" s="277" t="s">
        <v>10</v>
      </c>
      <c r="D40" s="277">
        <f>10*0.2*0.2</f>
        <v>0.4</v>
      </c>
      <c r="E40" s="354"/>
      <c r="F40" s="278">
        <f>D40*E40</f>
        <v>0</v>
      </c>
    </row>
    <row r="41" spans="1:6" s="2" customFormat="1" ht="17.25" customHeight="1">
      <c r="A41" s="358"/>
      <c r="B41" s="355" t="s">
        <v>22</v>
      </c>
      <c r="C41" s="277" t="s">
        <v>23</v>
      </c>
      <c r="D41" s="277">
        <f>D40*80</f>
        <v>32</v>
      </c>
      <c r="E41" s="354"/>
      <c r="F41" s="278">
        <f>D41*E41</f>
        <v>0</v>
      </c>
    </row>
    <row r="42" spans="1:6" s="2" customFormat="1" ht="17.25" customHeight="1">
      <c r="A42" s="358"/>
      <c r="B42" s="355" t="s">
        <v>21</v>
      </c>
      <c r="C42" s="277" t="s">
        <v>4</v>
      </c>
      <c r="D42" s="277">
        <f>D40*12</f>
        <v>4.8000000000000007</v>
      </c>
      <c r="E42" s="354"/>
      <c r="F42" s="278">
        <f>D42*E42</f>
        <v>0</v>
      </c>
    </row>
    <row r="43" spans="1:6" s="2" customFormat="1" ht="17.25" customHeight="1">
      <c r="A43" s="358" t="s">
        <v>310</v>
      </c>
      <c r="B43" s="355" t="s">
        <v>33</v>
      </c>
      <c r="C43" s="277"/>
      <c r="D43" s="277"/>
      <c r="E43" s="387"/>
      <c r="F43" s="278"/>
    </row>
    <row r="44" spans="1:6" s="2" customFormat="1" ht="17.25" customHeight="1">
      <c r="A44" s="358"/>
      <c r="B44" s="355" t="s">
        <v>439</v>
      </c>
      <c r="C44" s="277" t="s">
        <v>4</v>
      </c>
      <c r="D44" s="277">
        <f>(D34*2)-(0.7*2.2*2+0.6*0.6*2)</f>
        <v>66.92</v>
      </c>
      <c r="E44" s="387"/>
      <c r="F44" s="278">
        <f>D44*E44</f>
        <v>0</v>
      </c>
    </row>
    <row r="45" spans="1:6" s="2" customFormat="1" ht="17.25" customHeight="1">
      <c r="A45" s="358" t="s">
        <v>311</v>
      </c>
      <c r="B45" s="355" t="s">
        <v>312</v>
      </c>
      <c r="C45" s="277" t="s">
        <v>313</v>
      </c>
      <c r="D45" s="277">
        <f>0.6*0.6*2</f>
        <v>0.72</v>
      </c>
      <c r="E45" s="387"/>
      <c r="F45" s="278">
        <f>D45*E45</f>
        <v>0</v>
      </c>
    </row>
    <row r="46" spans="1:6" s="2" customFormat="1" ht="17.25" customHeight="1">
      <c r="A46" s="358" t="s">
        <v>314</v>
      </c>
      <c r="B46" s="388" t="s">
        <v>34</v>
      </c>
      <c r="C46" s="277"/>
      <c r="D46" s="277"/>
      <c r="E46" s="387"/>
      <c r="F46" s="278"/>
    </row>
    <row r="47" spans="1:6" s="2" customFormat="1" ht="17.25" customHeight="1">
      <c r="A47" s="358" t="s">
        <v>17</v>
      </c>
      <c r="B47" s="388" t="s">
        <v>35</v>
      </c>
      <c r="C47" s="277"/>
      <c r="D47" s="277"/>
      <c r="E47" s="387"/>
      <c r="F47" s="278"/>
    </row>
    <row r="48" spans="1:6" s="2" customFormat="1" ht="17.25" customHeight="1">
      <c r="A48" s="358" t="s">
        <v>86</v>
      </c>
      <c r="B48" s="355" t="s">
        <v>315</v>
      </c>
      <c r="C48" s="277" t="s">
        <v>9</v>
      </c>
      <c r="D48" s="277">
        <v>2</v>
      </c>
      <c r="E48" s="387"/>
      <c r="F48" s="278">
        <f>D48*E48</f>
        <v>0</v>
      </c>
    </row>
    <row r="49" spans="1:6" s="2" customFormat="1" ht="17.25" hidden="1" customHeight="1">
      <c r="A49" s="358" t="s">
        <v>31</v>
      </c>
      <c r="B49" s="388" t="s">
        <v>36</v>
      </c>
      <c r="C49" s="277"/>
      <c r="D49" s="277"/>
      <c r="E49" s="387"/>
      <c r="F49" s="278"/>
    </row>
    <row r="50" spans="1:6" s="2" customFormat="1" ht="17.25" hidden="1" customHeight="1">
      <c r="A50" s="358" t="s">
        <v>32</v>
      </c>
      <c r="B50" s="355" t="s">
        <v>64</v>
      </c>
      <c r="C50" s="277" t="s">
        <v>9</v>
      </c>
      <c r="D50" s="277">
        <v>0</v>
      </c>
      <c r="E50" s="387"/>
      <c r="F50" s="278">
        <f>D50*E50</f>
        <v>0</v>
      </c>
    </row>
    <row r="51" spans="1:6" s="2" customFormat="1" ht="17.25" customHeight="1">
      <c r="A51" s="386"/>
      <c r="B51" s="385" t="s">
        <v>37</v>
      </c>
      <c r="C51" s="384"/>
      <c r="D51" s="383"/>
      <c r="E51" s="382"/>
      <c r="F51" s="381">
        <f>SUM(F19:F50)</f>
        <v>0</v>
      </c>
    </row>
    <row r="52" spans="1:6" s="2" customFormat="1" ht="15.5">
      <c r="A52" s="358"/>
      <c r="B52" s="380"/>
      <c r="C52" s="272"/>
      <c r="D52" s="278"/>
      <c r="E52" s="361"/>
      <c r="F52" s="278"/>
    </row>
    <row r="53" spans="1:6" s="2" customFormat="1" ht="18.649999999999999" customHeight="1">
      <c r="A53" s="358"/>
      <c r="B53" s="364" t="s">
        <v>38</v>
      </c>
      <c r="C53" s="279"/>
      <c r="D53" s="280"/>
      <c r="E53" s="351"/>
      <c r="F53" s="281">
        <f>F51</f>
        <v>0</v>
      </c>
    </row>
    <row r="54" spans="1:6" s="2" customFormat="1" ht="15.5">
      <c r="A54" s="358"/>
      <c r="B54" s="378"/>
      <c r="C54" s="272"/>
      <c r="D54" s="278"/>
      <c r="E54" s="361"/>
      <c r="F54" s="278"/>
    </row>
    <row r="55" spans="1:6" s="2" customFormat="1" ht="15.5">
      <c r="A55" s="360" t="s">
        <v>18</v>
      </c>
      <c r="B55" s="274" t="s">
        <v>366</v>
      </c>
      <c r="C55" s="275"/>
      <c r="D55" s="276"/>
      <c r="E55" s="359"/>
      <c r="F55" s="276"/>
    </row>
    <row r="56" spans="1:6" s="2" customFormat="1" ht="15.5">
      <c r="A56" s="358" t="s">
        <v>116</v>
      </c>
      <c r="B56" s="355" t="s">
        <v>367</v>
      </c>
      <c r="C56" s="277" t="s">
        <v>9</v>
      </c>
      <c r="D56" s="277">
        <v>0</v>
      </c>
      <c r="E56" s="354"/>
      <c r="F56" s="278">
        <f>D56*E56</f>
        <v>0</v>
      </c>
    </row>
    <row r="57" spans="1:6" s="2" customFormat="1" ht="18">
      <c r="A57" s="374"/>
      <c r="B57" s="364" t="s">
        <v>368</v>
      </c>
      <c r="C57" s="279"/>
      <c r="D57" s="280"/>
      <c r="E57" s="351"/>
      <c r="F57" s="281">
        <f>SUM(F56:F56)</f>
        <v>0</v>
      </c>
    </row>
    <row r="58" spans="1:6" s="2" customFormat="1" ht="15.5">
      <c r="A58" s="374"/>
      <c r="B58" s="378"/>
      <c r="C58" s="272"/>
      <c r="D58" s="278"/>
      <c r="E58" s="361"/>
      <c r="F58" s="278"/>
    </row>
    <row r="59" spans="1:6" s="2" customFormat="1" ht="15.5">
      <c r="A59" s="360" t="s">
        <v>41</v>
      </c>
      <c r="B59" s="274" t="s">
        <v>39</v>
      </c>
      <c r="C59" s="275"/>
      <c r="D59" s="276"/>
      <c r="E59" s="359"/>
      <c r="F59" s="276"/>
    </row>
    <row r="60" spans="1:6" s="2" customFormat="1" ht="15.5">
      <c r="A60" s="358" t="s">
        <v>123</v>
      </c>
      <c r="B60" s="375" t="s">
        <v>316</v>
      </c>
      <c r="C60" s="277" t="s">
        <v>7</v>
      </c>
      <c r="D60" s="277">
        <v>20</v>
      </c>
      <c r="E60" s="354"/>
      <c r="F60" s="278">
        <f>D60*E60</f>
        <v>0</v>
      </c>
    </row>
    <row r="61" spans="1:6" s="2" customFormat="1" ht="18">
      <c r="A61" s="374"/>
      <c r="B61" s="364" t="s">
        <v>40</v>
      </c>
      <c r="C61" s="279"/>
      <c r="D61" s="280"/>
      <c r="E61" s="351"/>
      <c r="F61" s="281">
        <f>SUM(F60:F60)</f>
        <v>0</v>
      </c>
    </row>
    <row r="62" spans="1:6" s="2" customFormat="1" ht="15.5">
      <c r="A62" s="374"/>
      <c r="B62" s="378"/>
      <c r="C62" s="272"/>
      <c r="D62" s="278"/>
      <c r="E62" s="361"/>
      <c r="F62" s="278"/>
    </row>
    <row r="63" spans="1:6" s="2" customFormat="1" ht="15.5">
      <c r="A63" s="360" t="s">
        <v>47</v>
      </c>
      <c r="B63" s="274" t="s">
        <v>42</v>
      </c>
      <c r="C63" s="275"/>
      <c r="D63" s="276"/>
      <c r="E63" s="359"/>
      <c r="F63" s="276"/>
    </row>
    <row r="64" spans="1:6" s="2" customFormat="1" ht="15.5">
      <c r="A64" s="358" t="s">
        <v>49</v>
      </c>
      <c r="B64" s="375" t="s">
        <v>43</v>
      </c>
      <c r="C64" s="272"/>
      <c r="D64" s="278"/>
      <c r="E64" s="361"/>
      <c r="F64" s="278"/>
    </row>
    <row r="65" spans="1:6" s="2" customFormat="1" ht="15.5">
      <c r="A65" s="358" t="s">
        <v>50</v>
      </c>
      <c r="B65" s="357" t="s">
        <v>44</v>
      </c>
      <c r="C65" s="272"/>
      <c r="D65" s="278"/>
      <c r="E65" s="361"/>
      <c r="F65" s="278"/>
    </row>
    <row r="66" spans="1:6" s="2" customFormat="1" ht="15.5">
      <c r="A66" s="358" t="s">
        <v>317</v>
      </c>
      <c r="B66" s="355" t="s">
        <v>457</v>
      </c>
      <c r="C66" s="277" t="s">
        <v>4</v>
      </c>
      <c r="D66" s="277">
        <f>3*5</f>
        <v>15</v>
      </c>
      <c r="E66" s="354"/>
      <c r="F66" s="278">
        <f>D66*E66</f>
        <v>0</v>
      </c>
    </row>
    <row r="67" spans="1:6" s="2" customFormat="1" ht="15.5">
      <c r="A67" s="358" t="s">
        <v>318</v>
      </c>
      <c r="B67" s="357" t="s">
        <v>45</v>
      </c>
      <c r="C67" s="379"/>
      <c r="D67" s="379"/>
      <c r="E67" s="354"/>
      <c r="F67" s="278"/>
    </row>
    <row r="68" spans="1:6" s="2" customFormat="1" ht="15.5">
      <c r="A68" s="358" t="s">
        <v>319</v>
      </c>
      <c r="B68" s="355" t="s">
        <v>438</v>
      </c>
      <c r="C68" s="277" t="s">
        <v>4</v>
      </c>
      <c r="D68" s="277">
        <f>16*0.4</f>
        <v>6.4</v>
      </c>
      <c r="E68" s="354"/>
      <c r="F68" s="278">
        <f>D68*E68</f>
        <v>0</v>
      </c>
    </row>
    <row r="69" spans="1:6" s="2" customFormat="1" ht="15.5" hidden="1">
      <c r="A69" s="358" t="s">
        <v>320</v>
      </c>
      <c r="B69" s="357" t="s">
        <v>321</v>
      </c>
      <c r="C69" s="277"/>
      <c r="D69" s="277"/>
      <c r="E69" s="354"/>
      <c r="F69" s="278"/>
    </row>
    <row r="70" spans="1:6" s="2" customFormat="1" ht="15.5" hidden="1">
      <c r="A70" s="358" t="s">
        <v>322</v>
      </c>
      <c r="B70" s="355" t="s">
        <v>323</v>
      </c>
      <c r="C70" s="277" t="s">
        <v>9</v>
      </c>
      <c r="D70" s="277"/>
      <c r="E70" s="354"/>
      <c r="F70" s="278">
        <f>D70*E70</f>
        <v>0</v>
      </c>
    </row>
    <row r="71" spans="1:6" s="2" customFormat="1" ht="17.25" customHeight="1">
      <c r="A71" s="374"/>
      <c r="B71" s="364" t="s">
        <v>46</v>
      </c>
      <c r="C71" s="279"/>
      <c r="D71" s="280"/>
      <c r="E71" s="351"/>
      <c r="F71" s="281">
        <f>SUM(F66:F70)</f>
        <v>0</v>
      </c>
    </row>
    <row r="72" spans="1:6" s="377" customFormat="1" ht="17.25" customHeight="1">
      <c r="A72" s="374"/>
      <c r="B72" s="378"/>
      <c r="C72" s="272"/>
      <c r="D72" s="278"/>
      <c r="E72" s="361"/>
      <c r="F72" s="278"/>
    </row>
    <row r="73" spans="1:6" s="2" customFormat="1" ht="15.5">
      <c r="A73" s="360" t="s">
        <v>53</v>
      </c>
      <c r="B73" s="274" t="s">
        <v>48</v>
      </c>
      <c r="C73" s="275"/>
      <c r="D73" s="276"/>
      <c r="E73" s="359"/>
      <c r="F73" s="276"/>
    </row>
    <row r="74" spans="1:6" s="2" customFormat="1" ht="15.5">
      <c r="A74" s="356" t="s">
        <v>324</v>
      </c>
      <c r="B74" s="376" t="s">
        <v>51</v>
      </c>
      <c r="C74" s="277"/>
      <c r="D74" s="277"/>
      <c r="E74" s="354"/>
      <c r="F74" s="278"/>
    </row>
    <row r="75" spans="1:6" s="2" customFormat="1" ht="15.5">
      <c r="A75" s="356" t="s">
        <v>325</v>
      </c>
      <c r="B75" s="375" t="s">
        <v>437</v>
      </c>
      <c r="C75" s="277" t="s">
        <v>182</v>
      </c>
      <c r="D75" s="277">
        <v>1</v>
      </c>
      <c r="E75" s="354"/>
      <c r="F75" s="278">
        <f>D75*E75</f>
        <v>0</v>
      </c>
    </row>
    <row r="76" spans="1:6" s="2" customFormat="1" ht="18" customHeight="1">
      <c r="A76" s="374"/>
      <c r="B76" s="364" t="s">
        <v>52</v>
      </c>
      <c r="C76" s="279"/>
      <c r="D76" s="280"/>
      <c r="E76" s="351"/>
      <c r="F76" s="281">
        <f>SUM(F75)</f>
        <v>0</v>
      </c>
    </row>
    <row r="77" spans="1:6" s="2" customFormat="1" ht="11" customHeight="1">
      <c r="A77" s="358"/>
      <c r="B77" s="373"/>
      <c r="C77" s="272"/>
      <c r="D77" s="278"/>
      <c r="E77" s="361"/>
      <c r="F77" s="278"/>
    </row>
    <row r="78" spans="1:6" s="2" customFormat="1" ht="15.5">
      <c r="A78" s="360" t="s">
        <v>72</v>
      </c>
      <c r="B78" s="274" t="s">
        <v>55</v>
      </c>
      <c r="C78" s="275"/>
      <c r="D78" s="276"/>
      <c r="E78" s="359"/>
      <c r="F78" s="276"/>
    </row>
    <row r="79" spans="1:6" s="2" customFormat="1" ht="15.5">
      <c r="A79" s="358" t="s">
        <v>132</v>
      </c>
      <c r="B79" s="357" t="s">
        <v>436</v>
      </c>
      <c r="C79" s="272"/>
      <c r="D79" s="278"/>
      <c r="E79" s="361"/>
      <c r="F79" s="278"/>
    </row>
    <row r="80" spans="1:6" s="2" customFormat="1" ht="15.5">
      <c r="A80" s="358" t="s">
        <v>163</v>
      </c>
      <c r="B80" s="355" t="s">
        <v>326</v>
      </c>
      <c r="C80" s="272"/>
      <c r="D80" s="278"/>
      <c r="E80" s="361"/>
      <c r="F80" s="278"/>
    </row>
    <row r="81" spans="1:6" s="2" customFormat="1" ht="15.5">
      <c r="A81" s="358"/>
      <c r="B81" s="355" t="s">
        <v>327</v>
      </c>
      <c r="C81" s="277" t="s">
        <v>9</v>
      </c>
      <c r="D81" s="277">
        <v>2</v>
      </c>
      <c r="E81" s="354"/>
      <c r="F81" s="278">
        <f>D81*E81</f>
        <v>0</v>
      </c>
    </row>
    <row r="82" spans="1:6" s="2" customFormat="1" ht="17.5" customHeight="1">
      <c r="A82" s="362"/>
      <c r="B82" s="364" t="s">
        <v>56</v>
      </c>
      <c r="C82" s="363"/>
      <c r="D82" s="280"/>
      <c r="E82" s="351"/>
      <c r="F82" s="281">
        <f>SUM(F81:F81)</f>
        <v>0</v>
      </c>
    </row>
    <row r="83" spans="1:6" s="2" customFormat="1" ht="11" customHeight="1">
      <c r="A83" s="362"/>
      <c r="B83" s="271"/>
      <c r="C83" s="282"/>
      <c r="D83" s="278"/>
      <c r="E83" s="361"/>
      <c r="F83" s="278"/>
    </row>
    <row r="84" spans="1:6" s="2" customFormat="1" ht="15.5">
      <c r="A84" s="360" t="s">
        <v>54</v>
      </c>
      <c r="B84" s="274" t="s">
        <v>328</v>
      </c>
      <c r="C84" s="275"/>
      <c r="D84" s="276"/>
      <c r="E84" s="359"/>
      <c r="F84" s="276"/>
    </row>
    <row r="85" spans="1:6" s="2" customFormat="1" ht="15.5">
      <c r="A85" s="358" t="s">
        <v>329</v>
      </c>
      <c r="B85" s="357" t="s">
        <v>330</v>
      </c>
      <c r="C85" s="282"/>
      <c r="D85" s="278"/>
      <c r="E85" s="361"/>
      <c r="F85" s="278"/>
    </row>
    <row r="86" spans="1:6" s="2" customFormat="1" ht="15.5">
      <c r="A86" s="358" t="s">
        <v>331</v>
      </c>
      <c r="B86" s="357" t="s">
        <v>332</v>
      </c>
      <c r="C86" s="277"/>
      <c r="D86" s="277"/>
      <c r="E86" s="361"/>
      <c r="F86" s="278"/>
    </row>
    <row r="87" spans="1:6" s="2" customFormat="1" ht="18" customHeight="1">
      <c r="A87" s="358" t="s">
        <v>333</v>
      </c>
      <c r="B87" s="355" t="s">
        <v>435</v>
      </c>
      <c r="C87" s="277" t="s">
        <v>9</v>
      </c>
      <c r="D87" s="277">
        <v>2</v>
      </c>
      <c r="E87" s="361"/>
      <c r="F87" s="278">
        <f>D87*E87</f>
        <v>0</v>
      </c>
    </row>
    <row r="88" spans="1:6" s="2" customFormat="1" ht="30" customHeight="1">
      <c r="A88" s="358" t="s">
        <v>334</v>
      </c>
      <c r="B88" s="372" t="s">
        <v>434</v>
      </c>
      <c r="C88" s="277" t="s">
        <v>7</v>
      </c>
      <c r="D88" s="277">
        <v>6</v>
      </c>
      <c r="E88" s="354"/>
      <c r="F88" s="273">
        <f>D88*E88</f>
        <v>0</v>
      </c>
    </row>
    <row r="89" spans="1:6" s="2" customFormat="1" ht="30" customHeight="1">
      <c r="A89" s="358" t="s">
        <v>334</v>
      </c>
      <c r="B89" s="372" t="s">
        <v>433</v>
      </c>
      <c r="C89" s="277" t="s">
        <v>9</v>
      </c>
      <c r="D89" s="277">
        <v>1</v>
      </c>
      <c r="E89" s="354"/>
      <c r="F89" s="273">
        <f>D89*E89</f>
        <v>0</v>
      </c>
    </row>
    <row r="90" spans="1:6" s="2" customFormat="1" ht="17.5" customHeight="1">
      <c r="A90" s="362"/>
      <c r="B90" s="364" t="s">
        <v>335</v>
      </c>
      <c r="C90" s="363"/>
      <c r="D90" s="280"/>
      <c r="E90" s="351"/>
      <c r="F90" s="281">
        <f>SUM(F86:F89)</f>
        <v>0</v>
      </c>
    </row>
    <row r="91" spans="1:6" s="365" customFormat="1" ht="11" customHeight="1">
      <c r="A91" s="371"/>
      <c r="B91" s="370"/>
      <c r="C91" s="369"/>
      <c r="D91" s="368"/>
      <c r="E91" s="367"/>
      <c r="F91" s="366"/>
    </row>
    <row r="92" spans="1:6" s="2" customFormat="1" ht="15.5">
      <c r="A92" s="360" t="s">
        <v>73</v>
      </c>
      <c r="B92" s="274" t="s">
        <v>65</v>
      </c>
      <c r="C92" s="275"/>
      <c r="D92" s="276"/>
      <c r="E92" s="359"/>
      <c r="F92" s="276"/>
    </row>
    <row r="93" spans="1:6" s="2" customFormat="1" ht="15.5">
      <c r="A93" s="358" t="s">
        <v>144</v>
      </c>
      <c r="B93" s="357" t="s">
        <v>66</v>
      </c>
      <c r="C93" s="277"/>
      <c r="D93" s="277"/>
      <c r="E93" s="361"/>
      <c r="F93" s="278"/>
    </row>
    <row r="94" spans="1:6" s="2" customFormat="1" ht="18" customHeight="1">
      <c r="A94" s="358" t="s">
        <v>165</v>
      </c>
      <c r="B94" s="355" t="s">
        <v>432</v>
      </c>
      <c r="C94" s="277" t="s">
        <v>4</v>
      </c>
      <c r="D94" s="277">
        <f>2*5</f>
        <v>10</v>
      </c>
      <c r="E94" s="361"/>
      <c r="F94" s="278">
        <f>D94*E94</f>
        <v>0</v>
      </c>
    </row>
    <row r="95" spans="1:6" s="2" customFormat="1" ht="18" customHeight="1">
      <c r="A95" s="358" t="s">
        <v>336</v>
      </c>
      <c r="B95" s="355" t="s">
        <v>431</v>
      </c>
      <c r="C95" s="277" t="s">
        <v>4</v>
      </c>
      <c r="D95" s="277">
        <v>20</v>
      </c>
      <c r="E95" s="361"/>
      <c r="F95" s="278">
        <f>D95*E95</f>
        <v>0</v>
      </c>
    </row>
    <row r="96" spans="1:6" s="2" customFormat="1" ht="17" customHeight="1">
      <c r="A96" s="362"/>
      <c r="B96" s="364" t="s">
        <v>67</v>
      </c>
      <c r="C96" s="363"/>
      <c r="D96" s="280"/>
      <c r="E96" s="351"/>
      <c r="F96" s="281">
        <f>SUM(F93:F95)</f>
        <v>0</v>
      </c>
    </row>
    <row r="97" spans="1:6" s="2" customFormat="1" ht="15.5">
      <c r="A97" s="362"/>
      <c r="B97" s="271"/>
      <c r="C97" s="282"/>
      <c r="D97" s="278"/>
      <c r="E97" s="361"/>
      <c r="F97" s="278"/>
    </row>
    <row r="98" spans="1:6" s="2" customFormat="1" ht="15.5">
      <c r="A98" s="360" t="s">
        <v>74</v>
      </c>
      <c r="B98" s="274" t="s">
        <v>11</v>
      </c>
      <c r="C98" s="275"/>
      <c r="D98" s="276"/>
      <c r="E98" s="359"/>
      <c r="F98" s="276"/>
    </row>
    <row r="99" spans="1:6" s="2" customFormat="1" ht="17.25" customHeight="1">
      <c r="A99" s="358" t="s">
        <v>136</v>
      </c>
      <c r="B99" s="357" t="s">
        <v>430</v>
      </c>
      <c r="C99" s="277"/>
      <c r="D99" s="277"/>
      <c r="E99" s="354"/>
      <c r="F99" s="278"/>
    </row>
    <row r="100" spans="1:6" s="2" customFormat="1" ht="15.5">
      <c r="A100" s="358" t="s">
        <v>166</v>
      </c>
      <c r="B100" s="355" t="s">
        <v>429</v>
      </c>
      <c r="C100" s="277" t="s">
        <v>4</v>
      </c>
      <c r="D100" s="277">
        <v>25.45</v>
      </c>
      <c r="E100" s="354"/>
      <c r="F100" s="278">
        <f>D100*E100</f>
        <v>0</v>
      </c>
    </row>
    <row r="101" spans="1:6" s="2" customFormat="1" ht="15.5">
      <c r="A101" s="358" t="s">
        <v>167</v>
      </c>
      <c r="B101" s="355" t="s">
        <v>428</v>
      </c>
      <c r="C101" s="277" t="s">
        <v>4</v>
      </c>
      <c r="D101" s="277">
        <f>7*1.5</f>
        <v>10.5</v>
      </c>
      <c r="E101" s="354"/>
      <c r="F101" s="278">
        <f>D101*E101</f>
        <v>0</v>
      </c>
    </row>
    <row r="102" spans="1:6" s="2" customFormat="1" ht="15.5">
      <c r="A102" s="358" t="s">
        <v>168</v>
      </c>
      <c r="B102" s="357" t="s">
        <v>63</v>
      </c>
      <c r="C102" s="277"/>
      <c r="D102" s="277"/>
      <c r="E102" s="354"/>
      <c r="F102" s="278"/>
    </row>
    <row r="103" spans="1:6" s="2" customFormat="1" ht="15.5">
      <c r="A103" s="358" t="s">
        <v>169</v>
      </c>
      <c r="B103" s="355" t="s">
        <v>60</v>
      </c>
      <c r="C103" s="277" t="s">
        <v>4</v>
      </c>
      <c r="D103" s="277">
        <f>10*1.5</f>
        <v>15</v>
      </c>
      <c r="E103" s="354"/>
      <c r="F103" s="278">
        <f>D103*E103</f>
        <v>0</v>
      </c>
    </row>
    <row r="104" spans="1:6" s="2" customFormat="1" ht="15.5">
      <c r="A104" s="356" t="s">
        <v>170</v>
      </c>
      <c r="B104" s="357" t="s">
        <v>57</v>
      </c>
      <c r="C104" s="277"/>
      <c r="D104" s="277"/>
      <c r="E104" s="354"/>
      <c r="F104" s="278"/>
    </row>
    <row r="105" spans="1:6" s="2" customFormat="1" ht="15.5">
      <c r="A105" s="356" t="s">
        <v>171</v>
      </c>
      <c r="B105" s="355" t="s">
        <v>337</v>
      </c>
      <c r="C105" s="277" t="s">
        <v>4</v>
      </c>
      <c r="D105" s="277">
        <f>2*2*0.7*2</f>
        <v>5.6</v>
      </c>
      <c r="E105" s="354"/>
      <c r="F105" s="278">
        <f>D105*E105</f>
        <v>0</v>
      </c>
    </row>
    <row r="106" spans="1:6" s="350" customFormat="1" ht="17" customHeight="1">
      <c r="A106" s="283"/>
      <c r="B106" s="353" t="s">
        <v>58</v>
      </c>
      <c r="C106" s="352"/>
      <c r="D106" s="280"/>
      <c r="E106" s="351"/>
      <c r="F106" s="281">
        <f>SUM(F100:F105)</f>
        <v>0</v>
      </c>
    </row>
    <row r="107" spans="1:6" s="2" customFormat="1" ht="15.5">
      <c r="A107" s="349"/>
      <c r="B107" s="347"/>
      <c r="C107" s="347"/>
      <c r="D107" s="347"/>
      <c r="E107" s="348"/>
      <c r="F107" s="347"/>
    </row>
    <row r="108" spans="1:6" s="2" customFormat="1" ht="20.25" customHeight="1">
      <c r="A108" s="422" t="s">
        <v>427</v>
      </c>
      <c r="B108" s="423"/>
      <c r="C108" s="424"/>
      <c r="D108" s="346"/>
      <c r="E108" s="285"/>
      <c r="F108" s="284">
        <f>F13+F53+F61+F71+F76+F82+F90+F96+F106</f>
        <v>0</v>
      </c>
    </row>
    <row r="109" spans="1:6">
      <c r="E109" s="286"/>
    </row>
    <row r="110" spans="1:6" s="2" customFormat="1" ht="20.25" customHeight="1">
      <c r="A110" s="422" t="s">
        <v>369</v>
      </c>
      <c r="B110" s="423"/>
      <c r="C110" s="424"/>
      <c r="D110" s="287">
        <v>0.15</v>
      </c>
      <c r="E110" s="285"/>
      <c r="F110" s="284">
        <f>F108*D110</f>
        <v>0</v>
      </c>
    </row>
    <row r="111" spans="1:6">
      <c r="E111" s="286"/>
    </row>
    <row r="112" spans="1:6" s="2" customFormat="1" ht="20.25" customHeight="1">
      <c r="A112" s="422" t="s">
        <v>426</v>
      </c>
      <c r="B112" s="423"/>
      <c r="C112" s="424"/>
      <c r="D112" s="346"/>
      <c r="E112" s="285"/>
      <c r="F112" s="284">
        <v>3</v>
      </c>
    </row>
    <row r="113" spans="1:6">
      <c r="E113" s="286"/>
    </row>
    <row r="114" spans="1:6" s="2" customFormat="1" ht="20.25" customHeight="1">
      <c r="A114" s="422" t="s">
        <v>425</v>
      </c>
      <c r="B114" s="423"/>
      <c r="C114" s="424"/>
      <c r="D114" s="346"/>
      <c r="E114" s="285"/>
      <c r="F114" s="284">
        <f>(F108+F110)*F112</f>
        <v>0</v>
      </c>
    </row>
    <row r="115" spans="1:6">
      <c r="E115" s="286"/>
    </row>
    <row r="116" spans="1:6" s="2" customFormat="1" ht="15.5">
      <c r="A116" s="232"/>
      <c r="B116" s="232"/>
      <c r="D116" s="3"/>
      <c r="E116" s="3"/>
      <c r="F116" s="3"/>
    </row>
  </sheetData>
  <sheetProtection selectLockedCells="1"/>
  <mergeCells count="5">
    <mergeCell ref="A3:F3"/>
    <mergeCell ref="A108:C108"/>
    <mergeCell ref="A112:C112"/>
    <mergeCell ref="A114:C114"/>
    <mergeCell ref="A110:C110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60B69-20E5-4B80-A6D6-6C4CE8F886BF}">
  <sheetPr>
    <pageSetUpPr fitToPage="1"/>
  </sheetPr>
  <dimension ref="A1:F47"/>
  <sheetViews>
    <sheetView zoomScale="90" zoomScaleNormal="90" workbookViewId="0">
      <selection activeCell="H24" sqref="H24"/>
    </sheetView>
  </sheetViews>
  <sheetFormatPr baseColWidth="10" defaultRowHeight="14.5"/>
  <cols>
    <col min="1" max="1" width="6.26953125" style="402" customWidth="1"/>
    <col min="2" max="2" width="49.81640625" customWidth="1"/>
    <col min="3" max="3" width="9.26953125" style="402" customWidth="1"/>
    <col min="4" max="4" width="10.90625" style="402"/>
    <col min="5" max="5" width="11.81640625" customWidth="1"/>
    <col min="6" max="6" width="16.7265625" style="402" customWidth="1"/>
  </cols>
  <sheetData>
    <row r="1" spans="1:6" ht="72.650000000000006" customHeight="1"/>
    <row r="2" spans="1:6">
      <c r="B2" s="431" t="s">
        <v>504</v>
      </c>
      <c r="C2" s="431"/>
      <c r="D2" s="431"/>
      <c r="E2" s="431"/>
      <c r="F2" s="431"/>
    </row>
    <row r="3" spans="1:6">
      <c r="B3" s="431" t="s">
        <v>459</v>
      </c>
      <c r="C3" s="431"/>
      <c r="D3" s="431"/>
      <c r="E3" s="431"/>
      <c r="F3" s="431"/>
    </row>
    <row r="4" spans="1:6" ht="15" thickBot="1"/>
    <row r="5" spans="1:6" ht="15" thickBot="1">
      <c r="A5" s="432"/>
      <c r="B5" s="433" t="s">
        <v>70</v>
      </c>
      <c r="C5" s="434" t="s">
        <v>75</v>
      </c>
      <c r="D5" s="434" t="s">
        <v>413</v>
      </c>
      <c r="E5" s="434" t="s">
        <v>460</v>
      </c>
      <c r="F5" s="434" t="s">
        <v>461</v>
      </c>
    </row>
    <row r="6" spans="1:6" ht="27.65" hidden="1" customHeight="1" thickBot="1">
      <c r="A6" s="435">
        <v>0</v>
      </c>
      <c r="B6" s="436" t="s">
        <v>462</v>
      </c>
      <c r="C6" s="437"/>
      <c r="D6" s="437"/>
      <c r="E6" s="438"/>
      <c r="F6" s="439">
        <f>F7</f>
        <v>0</v>
      </c>
    </row>
    <row r="7" spans="1:6" ht="28.5" hidden="1" customHeight="1" thickBot="1">
      <c r="A7" s="440"/>
      <c r="B7" s="441" t="s">
        <v>463</v>
      </c>
      <c r="C7" s="442" t="s">
        <v>75</v>
      </c>
      <c r="D7" s="442">
        <v>0</v>
      </c>
      <c r="E7" s="443"/>
      <c r="F7" s="442">
        <f>D7*E7</f>
        <v>0</v>
      </c>
    </row>
    <row r="8" spans="1:6" ht="15" hidden="1" thickBot="1">
      <c r="A8" s="435">
        <v>1</v>
      </c>
      <c r="B8" s="444" t="s">
        <v>464</v>
      </c>
      <c r="C8" s="437"/>
      <c r="D8" s="437"/>
      <c r="E8" s="438"/>
      <c r="F8" s="439">
        <f>F10+F11</f>
        <v>0</v>
      </c>
    </row>
    <row r="9" spans="1:6" ht="21" hidden="1" customHeight="1">
      <c r="A9" s="445"/>
      <c r="B9" s="446" t="s">
        <v>465</v>
      </c>
      <c r="C9" s="447"/>
      <c r="D9" s="447"/>
      <c r="E9" s="448"/>
      <c r="F9" s="447"/>
    </row>
    <row r="10" spans="1:6" ht="25.5" hidden="1" customHeight="1">
      <c r="A10" s="449"/>
      <c r="B10" s="450" t="s">
        <v>466</v>
      </c>
      <c r="C10" s="447" t="s">
        <v>75</v>
      </c>
      <c r="D10" s="447">
        <v>0</v>
      </c>
      <c r="E10" s="448"/>
      <c r="F10" s="447">
        <f>D10*E10</f>
        <v>0</v>
      </c>
    </row>
    <row r="11" spans="1:6" ht="21" hidden="1" customHeight="1" thickBot="1">
      <c r="A11" s="449"/>
      <c r="B11" s="451" t="s">
        <v>467</v>
      </c>
      <c r="C11" s="447" t="s">
        <v>75</v>
      </c>
      <c r="D11" s="447">
        <v>0</v>
      </c>
      <c r="E11" s="448"/>
      <c r="F11" s="447">
        <f t="shared" ref="F11" si="0">D11*E11</f>
        <v>0</v>
      </c>
    </row>
    <row r="12" spans="1:6" ht="15" hidden="1" thickBot="1">
      <c r="A12" s="452">
        <v>2</v>
      </c>
      <c r="B12" s="453" t="s">
        <v>412</v>
      </c>
      <c r="C12" s="454"/>
      <c r="D12" s="454"/>
      <c r="E12" s="455"/>
      <c r="F12" s="456">
        <f>F13+F15</f>
        <v>0</v>
      </c>
    </row>
    <row r="13" spans="1:6" ht="20.5" hidden="1" customHeight="1">
      <c r="A13" s="457"/>
      <c r="B13" s="458" t="s">
        <v>468</v>
      </c>
      <c r="C13" s="459" t="s">
        <v>469</v>
      </c>
      <c r="D13" s="447">
        <v>0</v>
      </c>
      <c r="E13" s="448"/>
      <c r="F13" s="447">
        <f>D13*E13</f>
        <v>0</v>
      </c>
    </row>
    <row r="14" spans="1:6" ht="20.5" hidden="1" customHeight="1">
      <c r="A14" s="460"/>
      <c r="B14" s="461" t="s">
        <v>470</v>
      </c>
      <c r="C14" s="447"/>
      <c r="D14" s="447"/>
      <c r="E14" s="448"/>
      <c r="F14" s="447"/>
    </row>
    <row r="15" spans="1:6" ht="24" hidden="1" customHeight="1" thickBot="1">
      <c r="A15" s="462"/>
      <c r="B15" s="463" t="s">
        <v>471</v>
      </c>
      <c r="C15" s="464" t="s">
        <v>469</v>
      </c>
      <c r="D15" s="442">
        <v>0</v>
      </c>
      <c r="E15" s="443"/>
      <c r="F15" s="442">
        <f>D15*E15</f>
        <v>0</v>
      </c>
    </row>
    <row r="16" spans="1:6" ht="24" hidden="1" customHeight="1" thickBot="1">
      <c r="A16" s="435">
        <v>3</v>
      </c>
      <c r="B16" s="436" t="s">
        <v>472</v>
      </c>
      <c r="C16" s="437"/>
      <c r="D16" s="437"/>
      <c r="E16" s="438"/>
      <c r="F16" s="439">
        <f>F17+F18</f>
        <v>0</v>
      </c>
    </row>
    <row r="17" spans="1:6" ht="17.5" hidden="1" customHeight="1">
      <c r="A17" s="465" t="s">
        <v>473</v>
      </c>
      <c r="B17" s="446" t="s">
        <v>474</v>
      </c>
      <c r="C17" s="466" t="s">
        <v>469</v>
      </c>
      <c r="D17" s="466">
        <v>0</v>
      </c>
      <c r="E17" s="467"/>
      <c r="F17" s="466">
        <f>E17*D17</f>
        <v>0</v>
      </c>
    </row>
    <row r="18" spans="1:6" ht="17.5" hidden="1" customHeight="1" thickBot="1">
      <c r="A18" s="440" t="s">
        <v>475</v>
      </c>
      <c r="B18" s="468" t="s">
        <v>476</v>
      </c>
      <c r="C18" s="442" t="s">
        <v>469</v>
      </c>
      <c r="D18" s="442">
        <v>0</v>
      </c>
      <c r="E18" s="443"/>
      <c r="F18" s="442">
        <f>D18*E18</f>
        <v>0</v>
      </c>
    </row>
    <row r="19" spans="1:6" ht="36.5" hidden="1" customHeight="1" thickBot="1">
      <c r="A19" s="469">
        <v>4</v>
      </c>
      <c r="B19" s="470" t="s">
        <v>477</v>
      </c>
      <c r="C19" s="471"/>
      <c r="D19" s="471"/>
      <c r="E19" s="472"/>
      <c r="F19" s="473">
        <f>F20</f>
        <v>0</v>
      </c>
    </row>
    <row r="20" spans="1:6" ht="27.65" hidden="1" customHeight="1" thickBot="1">
      <c r="A20" s="474"/>
      <c r="B20" s="475" t="s">
        <v>478</v>
      </c>
      <c r="C20" s="476" t="s">
        <v>469</v>
      </c>
      <c r="D20" s="476">
        <v>0</v>
      </c>
      <c r="E20" s="477"/>
      <c r="F20" s="476">
        <f>D20*E20</f>
        <v>0</v>
      </c>
    </row>
    <row r="21" spans="1:6" ht="15" hidden="1" thickBot="1">
      <c r="A21" s="478">
        <v>5</v>
      </c>
      <c r="B21" s="479" t="s">
        <v>479</v>
      </c>
      <c r="C21" s="480"/>
      <c r="D21" s="480"/>
      <c r="E21" s="481"/>
      <c r="F21" s="482">
        <f>F22</f>
        <v>0</v>
      </c>
    </row>
    <row r="22" spans="1:6" ht="48" hidden="1" customHeight="1" thickBot="1">
      <c r="A22" s="483"/>
      <c r="B22" s="475" t="s">
        <v>480</v>
      </c>
      <c r="C22" s="476" t="s">
        <v>481</v>
      </c>
      <c r="D22" s="476">
        <v>0</v>
      </c>
      <c r="E22" s="477"/>
      <c r="F22" s="476">
        <f>D22*E22</f>
        <v>0</v>
      </c>
    </row>
    <row r="23" spans="1:6" ht="41.5" customHeight="1" thickBot="1">
      <c r="A23" s="435">
        <v>6</v>
      </c>
      <c r="B23" s="436" t="s">
        <v>482</v>
      </c>
      <c r="C23" s="484"/>
      <c r="D23" s="484"/>
      <c r="E23" s="485"/>
      <c r="F23" s="486">
        <f>F24</f>
        <v>0</v>
      </c>
    </row>
    <row r="24" spans="1:6" ht="35.5" customHeight="1" thickBot="1">
      <c r="A24" s="440"/>
      <c r="B24" s="441" t="s">
        <v>483</v>
      </c>
      <c r="C24" s="442" t="s">
        <v>481</v>
      </c>
      <c r="D24" s="442">
        <v>1</v>
      </c>
      <c r="E24" s="443"/>
      <c r="F24" s="442">
        <f>D24*E24</f>
        <v>0</v>
      </c>
    </row>
    <row r="25" spans="1:6" ht="41.5" customHeight="1" thickBot="1">
      <c r="A25" s="487">
        <v>7</v>
      </c>
      <c r="B25" s="488" t="s">
        <v>484</v>
      </c>
      <c r="C25" s="489"/>
      <c r="D25" s="489"/>
      <c r="E25" s="490"/>
      <c r="F25" s="491">
        <f>F26</f>
        <v>0</v>
      </c>
    </row>
    <row r="26" spans="1:6" ht="15" thickBot="1">
      <c r="A26" s="445"/>
      <c r="B26" s="492" t="s">
        <v>485</v>
      </c>
      <c r="C26" s="466" t="s">
        <v>481</v>
      </c>
      <c r="D26" s="466">
        <v>0</v>
      </c>
      <c r="E26" s="493"/>
      <c r="F26" s="466">
        <f>D26*E26</f>
        <v>0</v>
      </c>
    </row>
    <row r="27" spans="1:6" ht="15" thickBot="1">
      <c r="A27" s="494">
        <v>8</v>
      </c>
      <c r="B27" s="495" t="s">
        <v>486</v>
      </c>
      <c r="C27" s="496"/>
      <c r="D27" s="496"/>
      <c r="E27" s="497"/>
      <c r="F27" s="498">
        <f>F28</f>
        <v>0</v>
      </c>
    </row>
    <row r="28" spans="1:6" ht="26.5" customHeight="1" thickBot="1">
      <c r="A28" s="449">
        <v>8</v>
      </c>
      <c r="B28" s="492" t="s">
        <v>487</v>
      </c>
      <c r="C28" s="466" t="s">
        <v>75</v>
      </c>
      <c r="D28" s="466">
        <v>1</v>
      </c>
      <c r="E28" s="493"/>
      <c r="F28" s="466">
        <f>D28*E28</f>
        <v>0</v>
      </c>
    </row>
    <row r="29" spans="1:6" ht="15" thickBot="1">
      <c r="A29" s="435">
        <v>9</v>
      </c>
      <c r="B29" s="499" t="s">
        <v>488</v>
      </c>
      <c r="C29" s="496"/>
      <c r="D29" s="496"/>
      <c r="E29" s="497"/>
      <c r="F29" s="498">
        <f>F31</f>
        <v>0</v>
      </c>
    </row>
    <row r="30" spans="1:6">
      <c r="A30" s="445"/>
      <c r="B30" s="492" t="s">
        <v>489</v>
      </c>
      <c r="C30" s="466"/>
      <c r="D30" s="466"/>
      <c r="E30" s="493"/>
      <c r="F30" s="466"/>
    </row>
    <row r="31" spans="1:6" ht="28.5" thickBot="1">
      <c r="A31" s="440"/>
      <c r="B31" s="500" t="s">
        <v>490</v>
      </c>
      <c r="C31" s="442" t="s">
        <v>75</v>
      </c>
      <c r="D31" s="442">
        <v>0</v>
      </c>
      <c r="E31" s="501"/>
      <c r="F31" s="442">
        <f>D31*E31</f>
        <v>0</v>
      </c>
    </row>
    <row r="32" spans="1:6" ht="15" thickBot="1">
      <c r="A32" s="435">
        <v>10</v>
      </c>
      <c r="B32" s="499" t="s">
        <v>491</v>
      </c>
      <c r="C32" s="496"/>
      <c r="D32" s="496"/>
      <c r="E32" s="497"/>
      <c r="F32" s="498">
        <f>F33+F34+F35</f>
        <v>0</v>
      </c>
    </row>
    <row r="33" spans="1:6" ht="18.649999999999999" customHeight="1">
      <c r="A33" s="449" t="s">
        <v>492</v>
      </c>
      <c r="B33" s="492" t="s">
        <v>501</v>
      </c>
      <c r="C33" s="466" t="s">
        <v>75</v>
      </c>
      <c r="D33" s="466">
        <v>1</v>
      </c>
      <c r="E33" s="493"/>
      <c r="F33" s="466">
        <f>D33*E33</f>
        <v>0</v>
      </c>
    </row>
    <row r="34" spans="1:6" ht="30.5" customHeight="1">
      <c r="A34" s="460"/>
      <c r="B34" s="502" t="s">
        <v>502</v>
      </c>
      <c r="C34" s="447" t="s">
        <v>75</v>
      </c>
      <c r="D34" s="447">
        <v>1</v>
      </c>
      <c r="E34" s="503"/>
      <c r="F34" s="447">
        <f>D34*E34</f>
        <v>0</v>
      </c>
    </row>
    <row r="35" spans="1:6" ht="28.5" thickBot="1">
      <c r="A35" s="449"/>
      <c r="B35" s="492" t="s">
        <v>493</v>
      </c>
      <c r="C35" s="447" t="s">
        <v>75</v>
      </c>
      <c r="D35" s="447">
        <v>1</v>
      </c>
      <c r="E35" s="503"/>
      <c r="F35" s="447">
        <f>D35*E35</f>
        <v>0</v>
      </c>
    </row>
    <row r="36" spans="1:6">
      <c r="A36" s="504">
        <v>11</v>
      </c>
      <c r="B36" s="505" t="s">
        <v>494</v>
      </c>
      <c r="C36" s="506"/>
      <c r="D36" s="506"/>
      <c r="E36" s="507"/>
      <c r="F36" s="508">
        <f>F38+F39</f>
        <v>0</v>
      </c>
    </row>
    <row r="37" spans="1:6" ht="15" thickBot="1">
      <c r="A37" s="509"/>
      <c r="B37" s="510" t="s">
        <v>495</v>
      </c>
      <c r="C37" s="511"/>
      <c r="D37" s="511"/>
      <c r="E37" s="512"/>
      <c r="F37" s="513"/>
    </row>
    <row r="38" spans="1:6">
      <c r="A38" s="528"/>
      <c r="B38" s="514" t="s">
        <v>503</v>
      </c>
      <c r="C38" s="459" t="s">
        <v>75</v>
      </c>
      <c r="D38" s="459">
        <v>1</v>
      </c>
      <c r="E38" s="529"/>
      <c r="F38" s="459">
        <f>D38*E38</f>
        <v>0</v>
      </c>
    </row>
    <row r="39" spans="1:6" ht="15" thickBot="1">
      <c r="A39" s="440"/>
      <c r="B39" s="500" t="s">
        <v>496</v>
      </c>
      <c r="C39" s="442" t="s">
        <v>75</v>
      </c>
      <c r="D39" s="442">
        <v>1</v>
      </c>
      <c r="E39" s="501"/>
      <c r="F39" s="442">
        <f>D39*E39</f>
        <v>0</v>
      </c>
    </row>
    <row r="40" spans="1:6" ht="15" thickBot="1">
      <c r="A40" s="435">
        <v>12</v>
      </c>
      <c r="B40" s="499" t="s">
        <v>497</v>
      </c>
      <c r="C40" s="496"/>
      <c r="D40" s="496"/>
      <c r="E40" s="497"/>
      <c r="F40" s="498">
        <f>F41</f>
        <v>0</v>
      </c>
    </row>
    <row r="41" spans="1:6" ht="15" thickBot="1">
      <c r="A41" s="440"/>
      <c r="B41" s="500" t="s">
        <v>498</v>
      </c>
      <c r="C41" s="515" t="s">
        <v>75</v>
      </c>
      <c r="D41" s="515">
        <v>1</v>
      </c>
      <c r="E41" s="516"/>
      <c r="F41" s="515">
        <f>D41*E41</f>
        <v>0</v>
      </c>
    </row>
    <row r="42" spans="1:6" ht="15" thickBot="1">
      <c r="A42" s="524"/>
      <c r="B42" s="525"/>
      <c r="C42" s="524"/>
      <c r="D42" s="524"/>
      <c r="E42" s="526"/>
      <c r="F42" s="527"/>
    </row>
    <row r="43" spans="1:6" ht="18.5" thickBot="1">
      <c r="A43" s="517" t="s">
        <v>499</v>
      </c>
      <c r="B43" s="518"/>
      <c r="C43" s="518"/>
      <c r="D43" s="519"/>
      <c r="E43" s="520"/>
      <c r="F43" s="521">
        <f>F6+F8+F12+F16+F19+F21+F23+F25+F27+F29+F32+F36+F40</f>
        <v>0</v>
      </c>
    </row>
    <row r="44" spans="1:6" ht="12" customHeight="1" thickBot="1">
      <c r="F44" s="522"/>
    </row>
    <row r="45" spans="1:6" ht="18.5" thickBot="1">
      <c r="A45" s="517" t="s">
        <v>411</v>
      </c>
      <c r="B45" s="518"/>
      <c r="C45" s="518"/>
      <c r="D45" s="523">
        <v>0.15</v>
      </c>
      <c r="E45" s="520"/>
      <c r="F45" s="521">
        <f>F43*D45</f>
        <v>0</v>
      </c>
    </row>
    <row r="46" spans="1:6" ht="12" customHeight="1" thickBot="1">
      <c r="F46" s="522"/>
    </row>
    <row r="47" spans="1:6" ht="18.5" thickBot="1">
      <c r="A47" s="517" t="s">
        <v>410</v>
      </c>
      <c r="B47" s="518"/>
      <c r="C47" s="518"/>
      <c r="D47" s="519"/>
      <c r="E47" s="520"/>
      <c r="F47" s="521">
        <f>(F43+F45)</f>
        <v>0</v>
      </c>
    </row>
  </sheetData>
  <sheetProtection selectLockedCells="1"/>
  <mergeCells count="10">
    <mergeCell ref="A43:C43"/>
    <mergeCell ref="A45:C45"/>
    <mergeCell ref="A47:C47"/>
    <mergeCell ref="B2:F2"/>
    <mergeCell ref="B3:F3"/>
    <mergeCell ref="A36:A37"/>
    <mergeCell ref="C36:C37"/>
    <mergeCell ref="D36:D37"/>
    <mergeCell ref="E36:E37"/>
    <mergeCell ref="F36:F37"/>
  </mergeCells>
  <pageMargins left="0.7" right="0.7" top="0.75" bottom="0.75" header="0.3" footer="0.3"/>
  <pageSetup paperSize="9" scale="9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78B2-9670-4BF1-8B14-31E724686A74}">
  <dimension ref="A2:F19"/>
  <sheetViews>
    <sheetView showGridLines="0" view="pageBreakPreview" topLeftCell="A6" zoomScale="90" zoomScaleSheetLayoutView="90" workbookViewId="0">
      <selection activeCell="I18" sqref="I18"/>
    </sheetView>
  </sheetViews>
  <sheetFormatPr baseColWidth="10" defaultColWidth="11.453125" defaultRowHeight="15.5"/>
  <cols>
    <col min="1" max="1" width="8.54296875" style="301" customWidth="1"/>
    <col min="2" max="2" width="61.1796875" style="232" bestFit="1" customWidth="1"/>
    <col min="3" max="3" width="8.54296875" style="2" customWidth="1"/>
    <col min="4" max="4" width="10.54296875" style="3" customWidth="1"/>
    <col min="5" max="5" width="11.1796875" style="3" customWidth="1"/>
    <col min="6" max="6" width="12.81640625" style="3" customWidth="1"/>
    <col min="7" max="16384" width="11.453125" style="2"/>
  </cols>
  <sheetData>
    <row r="2" spans="1:6">
      <c r="A2" s="321"/>
      <c r="B2" s="1"/>
    </row>
    <row r="3" spans="1:6">
      <c r="A3" s="321"/>
      <c r="B3" s="1"/>
    </row>
    <row r="4" spans="1:6" ht="24.65" customHeight="1">
      <c r="A4" s="321"/>
      <c r="B4" s="1"/>
    </row>
    <row r="5" spans="1:6" ht="41" customHeight="1" thickBot="1">
      <c r="A5" s="425" t="s">
        <v>405</v>
      </c>
      <c r="B5" s="426"/>
      <c r="C5" s="426"/>
      <c r="D5" s="426"/>
      <c r="E5" s="426"/>
      <c r="F5" s="427"/>
    </row>
    <row r="6" spans="1:6" s="270" customFormat="1" ht="42.5" thickTop="1">
      <c r="A6" s="320" t="s">
        <v>12</v>
      </c>
      <c r="B6" s="319" t="s">
        <v>8</v>
      </c>
      <c r="C6" s="318" t="s">
        <v>0</v>
      </c>
      <c r="D6" s="318" t="s">
        <v>2</v>
      </c>
      <c r="E6" s="318" t="s">
        <v>3</v>
      </c>
      <c r="F6" s="318" t="s">
        <v>1</v>
      </c>
    </row>
    <row r="7" spans="1:6">
      <c r="A7" s="283"/>
      <c r="B7" s="271"/>
      <c r="C7" s="272"/>
      <c r="D7" s="273"/>
      <c r="E7" s="273"/>
      <c r="F7" s="273"/>
    </row>
    <row r="8" spans="1:6" ht="18" customHeight="1">
      <c r="A8" s="317" t="s">
        <v>13</v>
      </c>
      <c r="B8" s="274" t="s">
        <v>404</v>
      </c>
      <c r="C8" s="275"/>
      <c r="D8" s="276"/>
      <c r="E8" s="276"/>
      <c r="F8" s="276"/>
    </row>
    <row r="9" spans="1:6" ht="31.25" customHeight="1">
      <c r="A9" s="314">
        <v>1</v>
      </c>
      <c r="B9" s="316" t="s">
        <v>407</v>
      </c>
      <c r="C9" s="282"/>
      <c r="D9" s="282"/>
      <c r="E9" s="278"/>
      <c r="F9" s="278"/>
    </row>
    <row r="10" spans="1:6" ht="18" customHeight="1">
      <c r="A10" s="314">
        <v>2</v>
      </c>
      <c r="B10" s="315" t="s">
        <v>408</v>
      </c>
      <c r="C10" s="282" t="s">
        <v>10</v>
      </c>
      <c r="D10" s="282">
        <f>20*15*0.2</f>
        <v>60</v>
      </c>
      <c r="E10" s="278"/>
      <c r="F10" s="278">
        <f>D10*E10</f>
        <v>0</v>
      </c>
    </row>
    <row r="11" spans="1:6" ht="18" customHeight="1">
      <c r="A11" s="314">
        <v>3</v>
      </c>
      <c r="B11" s="315" t="s">
        <v>403</v>
      </c>
      <c r="C11" s="282" t="s">
        <v>9</v>
      </c>
      <c r="D11" s="282">
        <v>120</v>
      </c>
      <c r="E11" s="278"/>
      <c r="F11" s="278">
        <f>D11*E11</f>
        <v>0</v>
      </c>
    </row>
    <row r="12" spans="1:6" ht="18" customHeight="1">
      <c r="A12" s="314">
        <v>4</v>
      </c>
      <c r="B12" s="313" t="s">
        <v>406</v>
      </c>
      <c r="C12" s="277" t="s">
        <v>182</v>
      </c>
      <c r="D12" s="277">
        <v>1</v>
      </c>
      <c r="E12" s="273"/>
      <c r="F12" s="278">
        <f>D12*E12</f>
        <v>0</v>
      </c>
    </row>
    <row r="13" spans="1:6" ht="18" customHeight="1">
      <c r="A13" s="314">
        <v>5</v>
      </c>
      <c r="B13" s="313" t="s">
        <v>402</v>
      </c>
      <c r="C13" s="277" t="s">
        <v>10</v>
      </c>
      <c r="D13" s="277">
        <f>20*15*0.4</f>
        <v>120</v>
      </c>
      <c r="E13" s="273"/>
      <c r="F13" s="278">
        <f>D13*E13</f>
        <v>0</v>
      </c>
    </row>
    <row r="14" spans="1:6" ht="11.5" customHeight="1">
      <c r="A14" s="312"/>
      <c r="B14" s="311"/>
      <c r="C14" s="310"/>
      <c r="D14" s="309"/>
      <c r="E14" s="309"/>
      <c r="F14" s="309"/>
    </row>
    <row r="15" spans="1:6" ht="18">
      <c r="A15" s="283"/>
      <c r="B15" s="308" t="s">
        <v>401</v>
      </c>
      <c r="C15" s="279"/>
      <c r="D15" s="280"/>
      <c r="E15" s="280"/>
      <c r="F15" s="281">
        <f>SUM(F9:F13)</f>
        <v>0</v>
      </c>
    </row>
    <row r="17" spans="1:6" s="302" customFormat="1">
      <c r="A17" s="306"/>
      <c r="B17" s="305" t="s">
        <v>400</v>
      </c>
      <c r="D17" s="304"/>
      <c r="E17" s="304"/>
      <c r="F17" s="303">
        <v>1</v>
      </c>
    </row>
    <row r="18" spans="1:6" s="302" customFormat="1">
      <c r="A18" s="306"/>
      <c r="B18" s="307"/>
      <c r="D18" s="304"/>
      <c r="E18" s="304"/>
      <c r="F18" s="304"/>
    </row>
    <row r="19" spans="1:6" s="302" customFormat="1">
      <c r="A19" s="306"/>
      <c r="B19" s="305" t="s">
        <v>399</v>
      </c>
      <c r="D19" s="304"/>
      <c r="E19" s="304"/>
      <c r="F19" s="303">
        <f>F15*F17</f>
        <v>0</v>
      </c>
    </row>
  </sheetData>
  <mergeCells count="1">
    <mergeCell ref="A5:F5"/>
  </mergeCells>
  <pageMargins left="0.7" right="0.7" top="0.75" bottom="0.75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ABA0-662B-4CF1-A48D-25DCAF1FFDBD}">
  <dimension ref="A1:B19"/>
  <sheetViews>
    <sheetView tabSelected="1" view="pageBreakPreview" topLeftCell="A3" zoomScale="90" zoomScaleNormal="100" zoomScaleSheetLayoutView="90" workbookViewId="0">
      <selection activeCell="F13" sqref="F13"/>
    </sheetView>
  </sheetViews>
  <sheetFormatPr baseColWidth="10" defaultRowHeight="14.5"/>
  <cols>
    <col min="1" max="1" width="68.81640625" style="231" customWidth="1"/>
    <col min="2" max="2" width="23.81640625" customWidth="1"/>
  </cols>
  <sheetData>
    <row r="1" spans="1:2" ht="89" customHeight="1" thickBot="1">
      <c r="A1" s="428"/>
      <c r="B1" s="428"/>
    </row>
    <row r="2" spans="1:2" ht="5" hidden="1" customHeight="1" thickBot="1"/>
    <row r="3" spans="1:2" s="29" customFormat="1" ht="25.5" customHeight="1">
      <c r="A3" s="429" t="s">
        <v>458</v>
      </c>
      <c r="B3" s="430"/>
    </row>
    <row r="4" spans="1:2" s="29" customFormat="1" ht="12.75" customHeight="1">
      <c r="A4" s="254"/>
      <c r="B4" s="255"/>
    </row>
    <row r="5" spans="1:2" s="29" customFormat="1" ht="15.5">
      <c r="A5" s="106"/>
      <c r="B5" s="259"/>
    </row>
    <row r="6" spans="1:2" s="29" customFormat="1" ht="27.65" customHeight="1">
      <c r="A6" s="258" t="s">
        <v>450</v>
      </c>
      <c r="B6" s="261">
        <f>'ACHEVMT 3 cls + bureau '!F125</f>
        <v>0</v>
      </c>
    </row>
    <row r="7" spans="1:2" s="29" customFormat="1" ht="15.5">
      <c r="A7" s="106"/>
      <c r="B7" s="259"/>
    </row>
    <row r="8" spans="1:2" s="29" customFormat="1" ht="27.65" customHeight="1">
      <c r="A8" s="258" t="s">
        <v>451</v>
      </c>
      <c r="B8" s="261">
        <f>'DQE 3 cls'!F115</f>
        <v>0</v>
      </c>
    </row>
    <row r="9" spans="1:2" s="29" customFormat="1" ht="24" customHeight="1">
      <c r="A9" s="106"/>
      <c r="B9" s="260"/>
    </row>
    <row r="10" spans="1:2" s="29" customFormat="1" ht="27.65" customHeight="1">
      <c r="A10" s="107" t="s">
        <v>280</v>
      </c>
      <c r="B10" s="108">
        <f>'DQE cantine'!E134</f>
        <v>0</v>
      </c>
    </row>
    <row r="11" spans="1:2" s="29" customFormat="1" ht="18.649999999999999" customHeight="1">
      <c r="A11" s="110"/>
      <c r="B11" s="109"/>
    </row>
    <row r="12" spans="1:2" s="29" customFormat="1" ht="27.65" customHeight="1">
      <c r="A12" s="107" t="s">
        <v>448</v>
      </c>
      <c r="B12" s="108">
        <f>'DQE latrine 3 blocs 2 cabines '!F114</f>
        <v>0</v>
      </c>
    </row>
    <row r="13" spans="1:2" s="29" customFormat="1" ht="18.649999999999999" customHeight="1">
      <c r="A13" s="110"/>
      <c r="B13" s="109"/>
    </row>
    <row r="14" spans="1:2" s="29" customFormat="1" ht="27.65" customHeight="1">
      <c r="A14" s="107" t="s">
        <v>500</v>
      </c>
      <c r="B14" s="108">
        <f>'DQE Réha PMH'!F43</f>
        <v>0</v>
      </c>
    </row>
    <row r="15" spans="1:2" s="29" customFormat="1" ht="18.649999999999999" customHeight="1">
      <c r="A15" s="110"/>
      <c r="B15" s="109"/>
    </row>
    <row r="16" spans="1:2" s="29" customFormat="1" ht="27.65" customHeight="1">
      <c r="A16" s="107" t="s">
        <v>409</v>
      </c>
      <c r="B16" s="108">
        <f>' aménagement aire de jeux'!F19</f>
        <v>0</v>
      </c>
    </row>
    <row r="17" spans="1:2" s="29" customFormat="1" ht="18.649999999999999" customHeight="1" thickBot="1">
      <c r="A17" s="110"/>
      <c r="B17" s="109"/>
    </row>
    <row r="18" spans="1:2" s="29" customFormat="1" ht="25.25" customHeight="1" thickBot="1">
      <c r="A18" s="256" t="s">
        <v>353</v>
      </c>
      <c r="B18" s="257">
        <f>B6+B8+B10+B14+B16</f>
        <v>0</v>
      </c>
    </row>
    <row r="19" spans="1:2" s="29" customFormat="1" ht="15.5">
      <c r="A19" s="105"/>
      <c r="B19" s="103"/>
    </row>
  </sheetData>
  <sheetProtection selectLockedCells="1"/>
  <mergeCells count="2">
    <mergeCell ref="A1:B1"/>
    <mergeCell ref="A3:B3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ACHEVMT 3 cls + bureau </vt:lpstr>
      <vt:lpstr>DQE 3 cls</vt:lpstr>
      <vt:lpstr>DQE cantine</vt:lpstr>
      <vt:lpstr>DQE latrine 3 blocs 2 cabines </vt:lpstr>
      <vt:lpstr>DQE Réha PMH</vt:lpstr>
      <vt:lpstr> aménagement aire de jeux</vt:lpstr>
      <vt:lpstr>Recap</vt:lpstr>
      <vt:lpstr>' aménagement aire de jeux'!Zone_d_impression</vt:lpstr>
      <vt:lpstr>'ACHEVMT 3 cls + bureau '!Zone_d_impression</vt:lpstr>
      <vt:lpstr>'DQE 3 cls'!Zone_d_impression</vt:lpstr>
      <vt:lpstr>'DQE cantine'!Zone_d_impression</vt:lpstr>
      <vt:lpstr>'DQE latrine 3 blocs 2 cabines '!Zone_d_impression</vt:lpstr>
      <vt:lpstr>Recap!Zone_d_impression</vt:lpstr>
    </vt:vector>
  </TitlesOfParts>
  <Company>PRIVEE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SIEHI  RGER</dc:creator>
  <cp:lastModifiedBy>Koffi Simplice Loukou</cp:lastModifiedBy>
  <cp:lastPrinted>2024-12-12T18:39:48Z</cp:lastPrinted>
  <dcterms:created xsi:type="dcterms:W3CDTF">2007-12-03T22:12:12Z</dcterms:created>
  <dcterms:modified xsi:type="dcterms:W3CDTF">2024-12-18T08:43:01Z</dcterms:modified>
</cp:coreProperties>
</file>