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intlcocoainitiative-my.sharepoint.com/personal/l_esso_cocoainitiative_org/Documents/Documents/DAO 2025/"/>
    </mc:Choice>
  </mc:AlternateContent>
  <xr:revisionPtr revIDLastSave="16" documentId="8_{E5B417C3-0104-421C-8732-FCF1C85A80C1}" xr6:coauthVersionLast="47" xr6:coauthVersionMax="47" xr10:uidLastSave="{4E39C057-B221-459C-ABD9-260DB6D01931}"/>
  <bookViews>
    <workbookView xWindow="-108" yWindow="-108" windowWidth="23256" windowHeight="12576" tabRatio="961" activeTab="6" xr2:uid="{00000000-000D-0000-FFFF-FFFF00000000}"/>
  </bookViews>
  <sheets>
    <sheet name="REHA EPP BROUKRO" sheetId="48" r:id="rId1"/>
    <sheet name="DQE 3 cls + bureau " sheetId="36" r:id="rId2"/>
    <sheet name="DQE cantine" sheetId="37" r:id="rId3"/>
    <sheet name="Réhabilitatio latrine 8 cabines" sheetId="46" r:id="rId4"/>
    <sheet name="DQE Forage à énergie solaire" sheetId="49" r:id="rId5"/>
    <sheet name=" aménagement aire de jeux" sheetId="47" r:id="rId6"/>
    <sheet name="Recap" sheetId="39" r:id="rId7"/>
  </sheets>
  <definedNames>
    <definedName name="capinit" localSheetId="4">#REF!</definedName>
    <definedName name="capinit" localSheetId="0">#REF!</definedName>
    <definedName name="capinit" localSheetId="3">#REF!</definedName>
    <definedName name="capinit">#REF!</definedName>
    <definedName name="Cf" localSheetId="4">#REF!</definedName>
    <definedName name="Cf" localSheetId="0">#REF!</definedName>
    <definedName name="Cf" localSheetId="3">#REF!</definedName>
    <definedName name="Cf">#REF!</definedName>
    <definedName name="cgp" localSheetId="4">#REF!</definedName>
    <definedName name="cgp" localSheetId="0">#REF!</definedName>
    <definedName name="cgp" localSheetId="3">#REF!</definedName>
    <definedName name="cgp">#REF!</definedName>
    <definedName name="coeff_mult">#REF!</definedName>
    <definedName name="dos.BP">#REF!</definedName>
    <definedName name="Dos.CH">#REF!</definedName>
    <definedName name="Dos.dallage">#REF!</definedName>
    <definedName name="Dos.DP">#REF!</definedName>
    <definedName name="Dos.LT">#REF!</definedName>
    <definedName name="Dos.Pot">#REF!</definedName>
    <definedName name="Dos.Pout">#REF!</definedName>
    <definedName name="Dos.Raid">#REF!</definedName>
    <definedName name="DOS.SEMFIL">#REF!</definedName>
    <definedName name="DOS.SEMISOL">#REF!</definedName>
    <definedName name="EI">#REF!</definedName>
    <definedName name="épr.BP">#REF!</definedName>
    <definedName name="épr.dallage">#REF!</definedName>
    <definedName name="épr.enduit">#REF!</definedName>
    <definedName name="Esp.pose">#REF!</definedName>
    <definedName name="EX">#REF!</definedName>
    <definedName name="Haut.CH">#REF!</definedName>
    <definedName name="HC">#REF!</definedName>
    <definedName name="HM">#REF!</definedName>
    <definedName name="Larg.Agg">#REF!</definedName>
    <definedName name="Larg.BP">#REF!</definedName>
    <definedName name="Larg.CH">#REF!</definedName>
    <definedName name="Larg.F">#REF!</definedName>
    <definedName name="LTC">#REF!</definedName>
    <definedName name="LTF">#REF!</definedName>
    <definedName name="LTM">#REF!</definedName>
    <definedName name="LTMP">#REF!</definedName>
    <definedName name="MAC">#REF!</definedName>
    <definedName name="Nbre.plac">#REF!</definedName>
    <definedName name="Nbre.pose">#REF!</definedName>
    <definedName name="Nombre">#REF!</definedName>
    <definedName name="nombremag">#REF!</definedName>
    <definedName name="PF">#REF!</definedName>
    <definedName name="sortes">#REF!</definedName>
    <definedName name="Surf.fen">#REF!</definedName>
    <definedName name="Surf.Loc">#REF!</definedName>
    <definedName name="Surf.plac">#REF!</definedName>
    <definedName name="Surf.plaf">#REF!</definedName>
    <definedName name="Surf.port">#REF!</definedName>
    <definedName name="Surf.vides">#REF!</definedName>
    <definedName name="Surf.VMP">#REF!</definedName>
    <definedName name="Type.Toiture">#REF!</definedName>
    <definedName name="types">#REF!</definedName>
    <definedName name="_xlnm.Print_Area" localSheetId="5">' aménagement aire de jeux'!$A$1:$F$19</definedName>
    <definedName name="_xlnm.Print_Area" localSheetId="1">'DQE 3 cls + bureau '!$A$1:$F$126</definedName>
    <definedName name="_xlnm.Print_Area" localSheetId="2">'DQE cantine'!$A$1:$F$134</definedName>
    <definedName name="_xlnm.Print_Area" localSheetId="4">'DQE Forage à énergie solaire'!$A$1:$G$38</definedName>
    <definedName name="_xlnm.Print_Area" localSheetId="6">Recap!$A$1:$B$19</definedName>
    <definedName name="_xlnm.Print_Area" localSheetId="0">'REHA EPP BROUKRO'!$A$1:$F$399</definedName>
    <definedName name="_xlnm.Print_Area" localSheetId="3">'Réhabilitatio latrine 8 cabines'!$A$1:$F$119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4" i="39" l="1"/>
  <c r="G4" i="49"/>
  <c r="G34" i="49" s="1"/>
  <c r="G6" i="49"/>
  <c r="G7" i="49"/>
  <c r="G9" i="49"/>
  <c r="G10" i="49"/>
  <c r="G11" i="49"/>
  <c r="G12" i="49"/>
  <c r="G14" i="49"/>
  <c r="G16" i="49"/>
  <c r="G18" i="49"/>
  <c r="G19" i="49"/>
  <c r="G20" i="49"/>
  <c r="G21" i="49"/>
  <c r="G22" i="49"/>
  <c r="G23" i="49"/>
  <c r="G24" i="49"/>
  <c r="G25" i="49"/>
  <c r="G27" i="49"/>
  <c r="E28" i="49"/>
  <c r="G28" i="49"/>
  <c r="E29" i="49"/>
  <c r="G29" i="49"/>
  <c r="E30" i="49"/>
  <c r="G30" i="49"/>
  <c r="E31" i="49"/>
  <c r="G31" i="49"/>
  <c r="G32" i="49"/>
  <c r="E33" i="49"/>
  <c r="G33" i="49"/>
  <c r="D351" i="48"/>
  <c r="D330" i="48"/>
  <c r="F330" i="48"/>
  <c r="D304" i="48"/>
  <c r="F304" i="48" s="1"/>
  <c r="D271" i="48"/>
  <c r="D270" i="48"/>
  <c r="D268" i="48"/>
  <c r="D267" i="48"/>
  <c r="F267" i="48"/>
  <c r="D246" i="48"/>
  <c r="D248" i="48" s="1"/>
  <c r="F248" i="48" s="1"/>
  <c r="D244" i="48"/>
  <c r="F244" i="48" s="1"/>
  <c r="D242" i="48"/>
  <c r="D241" i="48"/>
  <c r="F241" i="48" s="1"/>
  <c r="D135" i="48"/>
  <c r="D131" i="48"/>
  <c r="D120" i="48"/>
  <c r="D77" i="48"/>
  <c r="F77" i="48" s="1"/>
  <c r="D76" i="48"/>
  <c r="D56" i="48"/>
  <c r="D57" i="48" s="1"/>
  <c r="F57" i="48" s="1"/>
  <c r="D74" i="48"/>
  <c r="D65" i="48"/>
  <c r="F65" i="48" s="1"/>
  <c r="D46" i="48"/>
  <c r="D52" i="48" s="1"/>
  <c r="D53" i="48" s="1"/>
  <c r="F53" i="48" s="1"/>
  <c r="D48" i="48"/>
  <c r="F48" i="48" s="1"/>
  <c r="F46" i="48"/>
  <c r="D44" i="48"/>
  <c r="F44" i="48" s="1"/>
  <c r="D42" i="48"/>
  <c r="F42" i="48" s="1"/>
  <c r="D41" i="48"/>
  <c r="D40" i="48"/>
  <c r="F40" i="48" s="1"/>
  <c r="D35" i="48"/>
  <c r="D36" i="48" s="1"/>
  <c r="D33" i="48"/>
  <c r="F33" i="48" s="1"/>
  <c r="D30" i="48"/>
  <c r="D31" i="48" s="1"/>
  <c r="F31" i="48" s="1"/>
  <c r="D22" i="48"/>
  <c r="F22" i="48" s="1"/>
  <c r="D20" i="48"/>
  <c r="F20" i="48" s="1"/>
  <c r="D16" i="48"/>
  <c r="F16" i="48" s="1"/>
  <c r="D15" i="48"/>
  <c r="F15" i="48" s="1"/>
  <c r="D14" i="48"/>
  <c r="F14" i="48" s="1"/>
  <c r="D26" i="48"/>
  <c r="D28" i="48" s="1"/>
  <c r="F28" i="48" s="1"/>
  <c r="F10" i="48"/>
  <c r="F11" i="48" s="1"/>
  <c r="F24" i="48"/>
  <c r="F41" i="48"/>
  <c r="D47" i="48"/>
  <c r="F47" i="48"/>
  <c r="F49" i="48"/>
  <c r="F50" i="48"/>
  <c r="F59" i="48"/>
  <c r="F60" i="48"/>
  <c r="F61" i="48"/>
  <c r="F62" i="48"/>
  <c r="F68" i="48"/>
  <c r="F69" i="48"/>
  <c r="F70" i="48"/>
  <c r="F71" i="48"/>
  <c r="F74" i="48"/>
  <c r="F76" i="48"/>
  <c r="F79" i="48"/>
  <c r="F80" i="48"/>
  <c r="F82" i="48"/>
  <c r="F83" i="48"/>
  <c r="F84" i="48"/>
  <c r="F85" i="48"/>
  <c r="F86" i="48"/>
  <c r="F88" i="48"/>
  <c r="F89" i="48"/>
  <c r="F90" i="48"/>
  <c r="D92" i="48"/>
  <c r="F92" i="48"/>
  <c r="F93" i="48"/>
  <c r="D94" i="48"/>
  <c r="F94" i="48" s="1"/>
  <c r="D95" i="48"/>
  <c r="F95" i="48" s="1"/>
  <c r="D97" i="48"/>
  <c r="F97" i="48" s="1"/>
  <c r="F100" i="48"/>
  <c r="F101" i="48"/>
  <c r="F102" i="48"/>
  <c r="F103" i="48"/>
  <c r="F104" i="48"/>
  <c r="F105" i="48"/>
  <c r="F106" i="48"/>
  <c r="F107" i="48"/>
  <c r="F108" i="48"/>
  <c r="F110" i="48"/>
  <c r="F111" i="48"/>
  <c r="D112" i="48"/>
  <c r="F112" i="48" s="1"/>
  <c r="F113" i="48"/>
  <c r="F114" i="48"/>
  <c r="F119" i="48"/>
  <c r="F120" i="48"/>
  <c r="F121" i="48"/>
  <c r="F122" i="48"/>
  <c r="F123" i="48"/>
  <c r="F124" i="48"/>
  <c r="F125" i="48"/>
  <c r="F126" i="48"/>
  <c r="F131" i="48"/>
  <c r="F133" i="48"/>
  <c r="F135" i="48"/>
  <c r="F139" i="48"/>
  <c r="F140" i="48" s="1"/>
  <c r="F143" i="48"/>
  <c r="F144" i="48"/>
  <c r="F145" i="48"/>
  <c r="F146" i="48"/>
  <c r="F149" i="48"/>
  <c r="F150" i="48"/>
  <c r="F153" i="48"/>
  <c r="F154" i="48"/>
  <c r="D156" i="48"/>
  <c r="D157" i="48" s="1"/>
  <c r="F156" i="48"/>
  <c r="F161" i="48"/>
  <c r="F162" i="48"/>
  <c r="F164" i="48"/>
  <c r="F165" i="48"/>
  <c r="F168" i="48"/>
  <c r="F170" i="48"/>
  <c r="F171" i="48"/>
  <c r="F176" i="48"/>
  <c r="F177" i="48"/>
  <c r="F178" i="48"/>
  <c r="F179" i="48"/>
  <c r="D183" i="48"/>
  <c r="F183" i="48"/>
  <c r="D184" i="48"/>
  <c r="F184" i="48"/>
  <c r="D186" i="48"/>
  <c r="F186" i="48" s="1"/>
  <c r="F190" i="48"/>
  <c r="D193" i="48"/>
  <c r="F193" i="48"/>
  <c r="D195" i="48"/>
  <c r="F195" i="48" s="1"/>
  <c r="D196" i="48"/>
  <c r="F196" i="48"/>
  <c r="F205" i="48"/>
  <c r="F206" i="48" s="1"/>
  <c r="F209" i="48"/>
  <c r="F210" i="48"/>
  <c r="D211" i="48"/>
  <c r="F211" i="48" s="1"/>
  <c r="F215" i="48"/>
  <c r="F217" i="48"/>
  <c r="D218" i="48"/>
  <c r="F218" i="48"/>
  <c r="F219" i="48"/>
  <c r="F221" i="48"/>
  <c r="D222" i="48"/>
  <c r="F222" i="48" s="1"/>
  <c r="D223" i="48"/>
  <c r="F223" i="48" s="1"/>
  <c r="F225" i="48"/>
  <c r="D226" i="48"/>
  <c r="F226" i="48"/>
  <c r="D227" i="48"/>
  <c r="F227" i="48"/>
  <c r="F228" i="48"/>
  <c r="D230" i="48"/>
  <c r="D232" i="48" s="1"/>
  <c r="F232" i="48" s="1"/>
  <c r="D235" i="48"/>
  <c r="F235" i="48" s="1"/>
  <c r="D236" i="48"/>
  <c r="F236" i="48"/>
  <c r="D237" i="48"/>
  <c r="F237" i="48" s="1"/>
  <c r="D239" i="48"/>
  <c r="F239" i="48" s="1"/>
  <c r="F242" i="48"/>
  <c r="F243" i="48"/>
  <c r="F250" i="48"/>
  <c r="D251" i="48"/>
  <c r="F251" i="48" s="1"/>
  <c r="D252" i="48"/>
  <c r="F252" i="48"/>
  <c r="F253" i="48"/>
  <c r="F254" i="48"/>
  <c r="F255" i="48"/>
  <c r="F256" i="48"/>
  <c r="D259" i="48"/>
  <c r="D260" i="48" s="1"/>
  <c r="F260" i="48" s="1"/>
  <c r="F262" i="48"/>
  <c r="F263" i="48"/>
  <c r="F264" i="48"/>
  <c r="F265" i="48"/>
  <c r="F268" i="48"/>
  <c r="F270" i="48"/>
  <c r="F273" i="48"/>
  <c r="F274" i="48"/>
  <c r="F276" i="48"/>
  <c r="F277" i="48"/>
  <c r="F278" i="48"/>
  <c r="F279" i="48"/>
  <c r="F280" i="48"/>
  <c r="F282" i="48"/>
  <c r="F283" i="48"/>
  <c r="F284" i="48"/>
  <c r="D286" i="48"/>
  <c r="F286" i="48" s="1"/>
  <c r="D287" i="48"/>
  <c r="F287" i="48"/>
  <c r="D288" i="48"/>
  <c r="F288" i="48" s="1"/>
  <c r="D289" i="48"/>
  <c r="F289" i="48"/>
  <c r="D291" i="48"/>
  <c r="D293" i="48" s="1"/>
  <c r="F293" i="48" s="1"/>
  <c r="F294" i="48"/>
  <c r="F295" i="48"/>
  <c r="F296" i="48"/>
  <c r="F297" i="48"/>
  <c r="F298" i="48"/>
  <c r="F299" i="48"/>
  <c r="F300" i="48"/>
  <c r="F301" i="48"/>
  <c r="F302" i="48"/>
  <c r="F305" i="48"/>
  <c r="D306" i="48"/>
  <c r="F306" i="48" s="1"/>
  <c r="F307" i="48"/>
  <c r="F312" i="48"/>
  <c r="D313" i="48"/>
  <c r="F313" i="48" s="1"/>
  <c r="F314" i="48"/>
  <c r="F315" i="48"/>
  <c r="F316" i="48"/>
  <c r="F317" i="48"/>
  <c r="F318" i="48"/>
  <c r="F319" i="48"/>
  <c r="D324" i="48"/>
  <c r="F324" i="48"/>
  <c r="F326" i="48"/>
  <c r="F328" i="48"/>
  <c r="F334" i="48"/>
  <c r="F335" i="48"/>
  <c r="F338" i="48"/>
  <c r="F346" i="48" s="1"/>
  <c r="F339" i="48"/>
  <c r="F340" i="48"/>
  <c r="F341" i="48"/>
  <c r="F344" i="48"/>
  <c r="F345" i="48"/>
  <c r="F348" i="48"/>
  <c r="F349" i="48"/>
  <c r="F351" i="48"/>
  <c r="D352" i="48"/>
  <c r="F352" i="48" s="1"/>
  <c r="F356" i="48"/>
  <c r="F357" i="48"/>
  <c r="F359" i="48"/>
  <c r="F360" i="48"/>
  <c r="F363" i="48"/>
  <c r="F365" i="48"/>
  <c r="F366" i="48"/>
  <c r="F371" i="48"/>
  <c r="F372" i="48" s="1"/>
  <c r="D375" i="48"/>
  <c r="F375" i="48" s="1"/>
  <c r="D376" i="48"/>
  <c r="F376" i="48"/>
  <c r="D378" i="48"/>
  <c r="F378" i="48"/>
  <c r="D379" i="48"/>
  <c r="F379" i="48" s="1"/>
  <c r="F382" i="48"/>
  <c r="D385" i="48"/>
  <c r="F385" i="48" s="1"/>
  <c r="D387" i="48"/>
  <c r="F387" i="48" s="1"/>
  <c r="D388" i="48"/>
  <c r="F388" i="48" s="1"/>
  <c r="G36" i="49" l="1"/>
  <c r="G38" i="49" s="1"/>
  <c r="D247" i="48"/>
  <c r="F247" i="48" s="1"/>
  <c r="F246" i="48"/>
  <c r="F30" i="48"/>
  <c r="D27" i="48"/>
  <c r="F27" i="48" s="1"/>
  <c r="F26" i="48"/>
  <c r="D292" i="48"/>
  <c r="F292" i="48" s="1"/>
  <c r="F291" i="48"/>
  <c r="D73" i="48"/>
  <c r="F73" i="48" s="1"/>
  <c r="F151" i="48"/>
  <c r="D231" i="48"/>
  <c r="F231" i="48" s="1"/>
  <c r="D32" i="48"/>
  <c r="F32" i="48" s="1"/>
  <c r="D23" i="48"/>
  <c r="F23" i="48" s="1"/>
  <c r="F230" i="48"/>
  <c r="F56" i="48"/>
  <c r="D58" i="48"/>
  <c r="F58" i="48" s="1"/>
  <c r="F52" i="48"/>
  <c r="D54" i="48"/>
  <c r="F54" i="48" s="1"/>
  <c r="F36" i="48"/>
  <c r="F17" i="48"/>
  <c r="F180" i="48"/>
  <c r="F259" i="48"/>
  <c r="F172" i="48"/>
  <c r="F389" i="48"/>
  <c r="F212" i="48"/>
  <c r="F331" i="48"/>
  <c r="F367" i="48"/>
  <c r="F353" i="48"/>
  <c r="F320" i="48"/>
  <c r="F157" i="48"/>
  <c r="F158" i="48" s="1"/>
  <c r="D187" i="48"/>
  <c r="F187" i="48" s="1"/>
  <c r="F197" i="48" s="1"/>
  <c r="F136" i="48"/>
  <c r="F127" i="48"/>
  <c r="D261" i="48"/>
  <c r="F261" i="48" s="1"/>
  <c r="D233" i="48"/>
  <c r="F233" i="48" s="1"/>
  <c r="D99" i="48"/>
  <c r="F99" i="48" s="1"/>
  <c r="F271" i="48"/>
  <c r="D98" i="48"/>
  <c r="F98" i="48" s="1"/>
  <c r="F35" i="48"/>
  <c r="D38" i="48"/>
  <c r="F38" i="48" s="1"/>
  <c r="D67" i="48"/>
  <c r="F67" i="48" s="1"/>
  <c r="D66" i="48"/>
  <c r="F66" i="48" s="1"/>
  <c r="D37" i="48"/>
  <c r="F37" i="48" s="1"/>
  <c r="F115" i="48" l="1"/>
  <c r="F116" i="48" s="1"/>
  <c r="F199" i="48" s="1"/>
  <c r="F308" i="48"/>
  <c r="F309" i="48" s="1"/>
  <c r="F391" i="48" s="1"/>
  <c r="F393" i="48" s="1"/>
  <c r="F395" i="48" l="1"/>
  <c r="B6" i="39" s="1"/>
  <c r="B16" i="39" l="1"/>
  <c r="D10" i="47"/>
  <c r="F10" i="47" s="1"/>
  <c r="F11" i="47"/>
  <c r="D13" i="47"/>
  <c r="F12" i="47"/>
  <c r="F13" i="47"/>
  <c r="F15" i="47" l="1"/>
  <c r="F19" i="47" s="1"/>
  <c r="D68" i="46" l="1"/>
  <c r="F68" i="46" s="1"/>
  <c r="F71" i="46" s="1"/>
  <c r="D28" i="46"/>
  <c r="D30" i="46" s="1"/>
  <c r="F30" i="46" s="1"/>
  <c r="F8" i="46"/>
  <c r="F10" i="46" s="1"/>
  <c r="F12" i="46" s="1"/>
  <c r="F9" i="46"/>
  <c r="F18" i="46"/>
  <c r="F20" i="46"/>
  <c r="D21" i="46"/>
  <c r="F21" i="46" s="1"/>
  <c r="D22" i="46"/>
  <c r="F22" i="46"/>
  <c r="F23" i="46"/>
  <c r="F25" i="46"/>
  <c r="D26" i="46"/>
  <c r="F26" i="46"/>
  <c r="F31" i="46"/>
  <c r="F33" i="46"/>
  <c r="F35" i="46"/>
  <c r="D36" i="46"/>
  <c r="F36" i="46" s="1"/>
  <c r="D37" i="46"/>
  <c r="F37" i="46"/>
  <c r="D41" i="46"/>
  <c r="F41" i="46" s="1"/>
  <c r="F39" i="46"/>
  <c r="D40" i="46"/>
  <c r="F40" i="46"/>
  <c r="F43" i="46"/>
  <c r="F44" i="46"/>
  <c r="F45" i="46"/>
  <c r="F48" i="46"/>
  <c r="F50" i="46"/>
  <c r="F56" i="46"/>
  <c r="F57" i="46" s="1"/>
  <c r="F60" i="46"/>
  <c r="F61" i="46" s="1"/>
  <c r="F66" i="46"/>
  <c r="F70" i="46"/>
  <c r="F75" i="46"/>
  <c r="F76" i="46"/>
  <c r="F81" i="46"/>
  <c r="F82" i="46"/>
  <c r="F83" i="46" s="1"/>
  <c r="F88" i="46"/>
  <c r="F89" i="46"/>
  <c r="F91" i="46" s="1"/>
  <c r="F90" i="46"/>
  <c r="D95" i="46"/>
  <c r="F95" i="46"/>
  <c r="D96" i="46"/>
  <c r="F96" i="46"/>
  <c r="F97" i="46"/>
  <c r="D101" i="46"/>
  <c r="F101" i="46"/>
  <c r="D102" i="46"/>
  <c r="F102" i="46" s="1"/>
  <c r="D104" i="46"/>
  <c r="F104" i="46" s="1"/>
  <c r="D106" i="46"/>
  <c r="F106" i="46"/>
  <c r="F107" i="46" l="1"/>
  <c r="D29" i="46"/>
  <c r="F29" i="46" s="1"/>
  <c r="F28" i="46"/>
  <c r="F51" i="46"/>
  <c r="F53" i="46" s="1"/>
  <c r="F109" i="46" s="1"/>
  <c r="F111" i="46" l="1"/>
  <c r="F113" i="46"/>
  <c r="B12" i="39" s="1"/>
  <c r="F121" i="36"/>
  <c r="F105" i="36"/>
  <c r="F104" i="36"/>
  <c r="D104" i="36"/>
  <c r="D102" i="36"/>
  <c r="F102" i="36" s="1"/>
  <c r="F101" i="36"/>
  <c r="F95" i="36" l="1"/>
  <c r="F93" i="36"/>
  <c r="F91" i="36"/>
  <c r="F90" i="36"/>
  <c r="F96" i="36" l="1"/>
  <c r="D36" i="37" l="1"/>
  <c r="D35" i="37"/>
  <c r="F35" i="37" s="1"/>
  <c r="D127" i="37" l="1"/>
  <c r="F127" i="37" s="1"/>
  <c r="D124" i="37"/>
  <c r="F124" i="37" s="1"/>
  <c r="D122" i="37"/>
  <c r="F122" i="37" s="1"/>
  <c r="D121" i="37"/>
  <c r="F121" i="37" s="1"/>
  <c r="F116" i="37"/>
  <c r="F115" i="37"/>
  <c r="F110" i="37"/>
  <c r="F108" i="37"/>
  <c r="F107" i="37"/>
  <c r="D100" i="37"/>
  <c r="F100" i="37" s="1"/>
  <c r="D99" i="37"/>
  <c r="D125" i="37" s="1"/>
  <c r="F125" i="37" s="1"/>
  <c r="F95" i="37"/>
  <c r="F96" i="37" s="1"/>
  <c r="D90" i="37"/>
  <c r="F90" i="37" s="1"/>
  <c r="F88" i="37"/>
  <c r="D86" i="37"/>
  <c r="F86" i="37" s="1"/>
  <c r="F80" i="37"/>
  <c r="F81" i="37" s="1"/>
  <c r="D80" i="37"/>
  <c r="F63" i="37"/>
  <c r="F61" i="37"/>
  <c r="F59" i="37"/>
  <c r="F56" i="37"/>
  <c r="F55" i="37"/>
  <c r="D50" i="37"/>
  <c r="F50" i="37" s="1"/>
  <c r="D49" i="37"/>
  <c r="D51" i="37" s="1"/>
  <c r="F51" i="37" s="1"/>
  <c r="F43" i="37"/>
  <c r="D41" i="37"/>
  <c r="D42" i="37" s="1"/>
  <c r="F42" i="37" s="1"/>
  <c r="D39" i="37"/>
  <c r="D54" i="37" s="1"/>
  <c r="F54" i="37" s="1"/>
  <c r="F36" i="37"/>
  <c r="D33" i="37"/>
  <c r="F33" i="37" s="1"/>
  <c r="D30" i="37"/>
  <c r="D45" i="37" s="1"/>
  <c r="D26" i="37"/>
  <c r="D27" i="37" s="1"/>
  <c r="F27" i="37" s="1"/>
  <c r="D23" i="37"/>
  <c r="D24" i="37" s="1"/>
  <c r="F24" i="37" s="1"/>
  <c r="D17" i="37"/>
  <c r="F17" i="37" s="1"/>
  <c r="D16" i="37"/>
  <c r="F16" i="37" s="1"/>
  <c r="D15" i="37"/>
  <c r="F15" i="37" s="1"/>
  <c r="F18" i="37" s="1"/>
  <c r="F10" i="37"/>
  <c r="F9" i="37"/>
  <c r="F8" i="37"/>
  <c r="D118" i="36"/>
  <c r="F118" i="36" s="1"/>
  <c r="D117" i="36"/>
  <c r="F117" i="36" s="1"/>
  <c r="D115" i="36"/>
  <c r="F115" i="36" s="1"/>
  <c r="D113" i="36"/>
  <c r="F113" i="36" s="1"/>
  <c r="D111" i="36"/>
  <c r="F111" i="36" s="1"/>
  <c r="D110" i="36"/>
  <c r="F110" i="36" s="1"/>
  <c r="F84" i="36"/>
  <c r="F85" i="36" s="1"/>
  <c r="D78" i="36"/>
  <c r="F78" i="36" s="1"/>
  <c r="F76" i="36"/>
  <c r="D74" i="36"/>
  <c r="F74" i="36" s="1"/>
  <c r="F68" i="36"/>
  <c r="D67" i="36"/>
  <c r="F67" i="36" s="1"/>
  <c r="F60" i="36"/>
  <c r="F59" i="36"/>
  <c r="D56" i="36"/>
  <c r="D57" i="36" s="1"/>
  <c r="F57" i="36" s="1"/>
  <c r="D55" i="36"/>
  <c r="F55" i="36" s="1"/>
  <c r="D54" i="36"/>
  <c r="F54" i="36" s="1"/>
  <c r="D53" i="36"/>
  <c r="F53" i="36" s="1"/>
  <c r="D52" i="36"/>
  <c r="F52" i="36" s="1"/>
  <c r="F50" i="36"/>
  <c r="F49" i="36"/>
  <c r="F48" i="36"/>
  <c r="D46" i="36"/>
  <c r="F46" i="36" s="1"/>
  <c r="D41" i="36"/>
  <c r="F41" i="36" s="1"/>
  <c r="D39" i="36"/>
  <c r="F39" i="36" s="1"/>
  <c r="D38" i="36"/>
  <c r="F38" i="36" s="1"/>
  <c r="D36" i="36"/>
  <c r="F36" i="36" s="1"/>
  <c r="D35" i="36"/>
  <c r="F35" i="36" s="1"/>
  <c r="D34" i="36"/>
  <c r="F34" i="36" s="1"/>
  <c r="D32" i="36"/>
  <c r="F32" i="36" s="1"/>
  <c r="D31" i="36"/>
  <c r="F31" i="36" s="1"/>
  <c r="D30" i="36"/>
  <c r="F30" i="36" s="1"/>
  <c r="D29" i="36"/>
  <c r="D40" i="36" s="1"/>
  <c r="F40" i="36" s="1"/>
  <c r="D28" i="36"/>
  <c r="F28" i="36" s="1"/>
  <c r="D27" i="36"/>
  <c r="F27" i="36" s="1"/>
  <c r="D26" i="36"/>
  <c r="F26" i="36" s="1"/>
  <c r="D22" i="36"/>
  <c r="F22" i="36" s="1"/>
  <c r="D21" i="36"/>
  <c r="F21" i="36" s="1"/>
  <c r="D20" i="36"/>
  <c r="F20" i="36" s="1"/>
  <c r="F13" i="36"/>
  <c r="F12" i="36"/>
  <c r="F11" i="36"/>
  <c r="F14" i="36" s="1"/>
  <c r="F79" i="36" l="1"/>
  <c r="F69" i="36"/>
  <c r="F23" i="36"/>
  <c r="F119" i="36"/>
  <c r="F111" i="37"/>
  <c r="D31" i="37"/>
  <c r="F31" i="37" s="1"/>
  <c r="F49" i="37"/>
  <c r="F117" i="37"/>
  <c r="F23" i="37"/>
  <c r="F11" i="37"/>
  <c r="F99" i="37"/>
  <c r="F102" i="37" s="1"/>
  <c r="D43" i="36"/>
  <c r="D44" i="36" s="1"/>
  <c r="F44" i="36" s="1"/>
  <c r="F56" i="36"/>
  <c r="D47" i="37"/>
  <c r="F47" i="37" s="1"/>
  <c r="F45" i="37"/>
  <c r="D46" i="37"/>
  <c r="F46" i="37" s="1"/>
  <c r="F128" i="37"/>
  <c r="F91" i="37"/>
  <c r="F26" i="37"/>
  <c r="F39" i="37"/>
  <c r="F29" i="36"/>
  <c r="F41" i="37"/>
  <c r="D32" i="37"/>
  <c r="F32" i="37" s="1"/>
  <c r="D28" i="37"/>
  <c r="F28" i="37" s="1"/>
  <c r="F30" i="37"/>
  <c r="F43" i="36" l="1"/>
  <c r="F61" i="36" s="1"/>
  <c r="F62" i="36" s="1"/>
  <c r="F74" i="37"/>
  <c r="F76" i="37" s="1"/>
  <c r="F130" i="37" s="1"/>
  <c r="F123" i="36" l="1"/>
  <c r="F132" i="37"/>
  <c r="E134" i="37" s="1"/>
  <c r="B10" i="39" s="1"/>
  <c r="F125" i="36" l="1"/>
  <c r="B8" i="39"/>
  <c r="B18" i="39" s="1"/>
</calcChain>
</file>

<file path=xl/sharedStrings.xml><?xml version="1.0" encoding="utf-8"?>
<sst xmlns="http://schemas.openxmlformats.org/spreadsheetml/2006/main" count="1736" uniqueCount="702">
  <si>
    <t>Unité</t>
  </si>
  <si>
    <t>Montant du marché</t>
  </si>
  <si>
    <t>Quantité du marché</t>
  </si>
  <si>
    <t>Prix unitaire du marché</t>
  </si>
  <si>
    <t>m²</t>
  </si>
  <si>
    <t>1.2</t>
  </si>
  <si>
    <t>2.3</t>
  </si>
  <si>
    <t>ml</t>
  </si>
  <si>
    <t xml:space="preserve">Désignation des Travaux </t>
  </si>
  <si>
    <t>u</t>
  </si>
  <si>
    <t>m3</t>
  </si>
  <si>
    <t>PEINTURE</t>
  </si>
  <si>
    <t>N° d'ordre</t>
  </si>
  <si>
    <t>LOT 1</t>
  </si>
  <si>
    <t>LOT 2</t>
  </si>
  <si>
    <t>GROS-ŒUVRE</t>
  </si>
  <si>
    <t>2.2.</t>
  </si>
  <si>
    <t>2.2.1</t>
  </si>
  <si>
    <t>LOT 3</t>
  </si>
  <si>
    <t>FONDATION</t>
  </si>
  <si>
    <t xml:space="preserve">         * Béton</t>
  </si>
  <si>
    <t xml:space="preserve">         * Coffrage 12 m2/m3</t>
  </si>
  <si>
    <t xml:space="preserve">         * Aciers Tors HA 80 kg/m3</t>
  </si>
  <si>
    <t>kg</t>
  </si>
  <si>
    <t>2.2.2</t>
  </si>
  <si>
    <t>ELEVATION</t>
  </si>
  <si>
    <t>2.2.2.1</t>
  </si>
  <si>
    <t>2.2.2.5</t>
  </si>
  <si>
    <t>2.2.2.7</t>
  </si>
  <si>
    <t>2.2.2.8</t>
  </si>
  <si>
    <t>2.3.1</t>
  </si>
  <si>
    <t>2.3.2</t>
  </si>
  <si>
    <t>2.3.2.5</t>
  </si>
  <si>
    <t xml:space="preserve"> ENDUITS</t>
  </si>
  <si>
    <t>OUVRAGES DIVERS</t>
  </si>
  <si>
    <t>Marches d'escalier</t>
  </si>
  <si>
    <t xml:space="preserve">Rampe </t>
  </si>
  <si>
    <t>Sous-total Maçonnerie béton armé</t>
  </si>
  <si>
    <t>TOTAL GROS-ŒUVRES</t>
  </si>
  <si>
    <t>CHARPENTE</t>
  </si>
  <si>
    <t>TOTAL CHARPENTE</t>
  </si>
  <si>
    <t>LOT 4</t>
  </si>
  <si>
    <t>COUVERTURE</t>
  </si>
  <si>
    <t>GENERALITES</t>
  </si>
  <si>
    <t xml:space="preserve">Couverture </t>
  </si>
  <si>
    <t>Bardage</t>
  </si>
  <si>
    <t>TOTAL COUVERTURE</t>
  </si>
  <si>
    <t>LOT 5</t>
  </si>
  <si>
    <t>ETANCHEITE</t>
  </si>
  <si>
    <t>5.1</t>
  </si>
  <si>
    <t>5.1.1</t>
  </si>
  <si>
    <t>Etanchéité des couvertures tôle</t>
  </si>
  <si>
    <t>TOTAL ETANCHEITE</t>
  </si>
  <si>
    <t>LOT 6</t>
  </si>
  <si>
    <t>LOT 8</t>
  </si>
  <si>
    <t>SERRURERIE</t>
  </si>
  <si>
    <t>TOTAL SERRURERIE</t>
  </si>
  <si>
    <t>Peinture glycero sur ouvrages metalliques</t>
  </si>
  <si>
    <t>TOTAL PEINTURE</t>
  </si>
  <si>
    <t xml:space="preserve"> - Vinyl sur murs extérieurs  et claustras 2 couches</t>
  </si>
  <si>
    <t xml:space="preserve"> - Vinyl sur murs intérieurs  et claustras 2 couches</t>
  </si>
  <si>
    <t xml:space="preserve">         * Aciers Tors HA 70 kg/m3</t>
  </si>
  <si>
    <t xml:space="preserve"> Peinture extérieure</t>
  </si>
  <si>
    <t xml:space="preserve"> Peinture intérieure</t>
  </si>
  <si>
    <t>Rampe d'accès</t>
  </si>
  <si>
    <t>REVETMENT DUR</t>
  </si>
  <si>
    <t>sol et faîence</t>
  </si>
  <si>
    <t xml:space="preserve">TOTAL REVETEMENT </t>
  </si>
  <si>
    <t>1.1</t>
  </si>
  <si>
    <t>1.3</t>
  </si>
  <si>
    <t>DESIGNATION</t>
  </si>
  <si>
    <t>CHARPENTE BOIS</t>
  </si>
  <si>
    <t>LOT 7</t>
  </si>
  <si>
    <t>LOT 9</t>
  </si>
  <si>
    <t>LOT 10</t>
  </si>
  <si>
    <t>U</t>
  </si>
  <si>
    <t>QTE</t>
  </si>
  <si>
    <t>PRIX UNITAIRE</t>
  </si>
  <si>
    <t>P. TOTAL</t>
  </si>
  <si>
    <t>2.1</t>
  </si>
  <si>
    <t xml:space="preserve"> TERRASSEMENTS PARTICULIERS</t>
  </si>
  <si>
    <t>2.1.1.</t>
  </si>
  <si>
    <t>2.1.2.</t>
  </si>
  <si>
    <t xml:space="preserve"> - Remblai des fouilles</t>
  </si>
  <si>
    <t>2.1.3.</t>
  </si>
  <si>
    <t xml:space="preserve"> - Remblai  sous dallage </t>
  </si>
  <si>
    <t>2.2.1.1</t>
  </si>
  <si>
    <t xml:space="preserve"> - Béton de propreté EP = 0,05 dosé à 150 kg/m3</t>
  </si>
  <si>
    <t>2.2.1.2</t>
  </si>
  <si>
    <t>2.2.1.3</t>
  </si>
  <si>
    <t>2.2.1.4</t>
  </si>
  <si>
    <t>2.2.1.5</t>
  </si>
  <si>
    <t>2.2.1.6</t>
  </si>
  <si>
    <t xml:space="preserve">         * Film polyane sous dallage</t>
  </si>
  <si>
    <t>2.2.1.7</t>
  </si>
  <si>
    <t xml:space="preserve"> - Drain en briques </t>
  </si>
  <si>
    <t xml:space="preserve">         * Gravier roulé séléctionné ép=20 cm</t>
  </si>
  <si>
    <t xml:space="preserve">         * Sable ép=10 cm</t>
  </si>
  <si>
    <t xml:space="preserve"> - Raidisseur et poteaux en béton armé dosé à 350 kg/m3</t>
  </si>
  <si>
    <t xml:space="preserve"> - Chaînage haut et linteaux dosés à 350 kg/m3</t>
  </si>
  <si>
    <t xml:space="preserve">         * Coffrage 2 m2/m3</t>
  </si>
  <si>
    <t>2.2.2.6</t>
  </si>
  <si>
    <t xml:space="preserve"> - Couronnement des murs et pignons </t>
  </si>
  <si>
    <t xml:space="preserve">CLAUSTRAS </t>
  </si>
  <si>
    <r>
      <t>m</t>
    </r>
    <r>
      <rPr>
        <vertAlign val="superscript"/>
        <sz val="12"/>
        <rFont val="Calibri"/>
        <family val="2"/>
      </rPr>
      <t>2</t>
    </r>
  </si>
  <si>
    <t xml:space="preserve"> - Fouilles en rigole </t>
  </si>
  <si>
    <t xml:space="preserve"> - Agglos pleins de 15 d'épaisseur</t>
  </si>
  <si>
    <t xml:space="preserve"> - Remblai  sous dalle de la rampe</t>
  </si>
  <si>
    <t>2.3.3</t>
  </si>
  <si>
    <t>2.3.3.1</t>
  </si>
  <si>
    <t>2.3.3.2</t>
  </si>
  <si>
    <t>2.3.3.3</t>
  </si>
  <si>
    <t>2.3.4</t>
  </si>
  <si>
    <t>2.3.4.2</t>
  </si>
  <si>
    <t>Tableau en ciment</t>
  </si>
  <si>
    <t>SOUS/TOTAL  maçonnerie et béton armé</t>
  </si>
  <si>
    <t>3.1</t>
  </si>
  <si>
    <t>CHARPENTE BOIS  ASSEMBLE ET TRAITE</t>
  </si>
  <si>
    <t>3.1.1</t>
  </si>
  <si>
    <t>3.1.2</t>
  </si>
  <si>
    <t>Charpente en bois assamblée et traitée</t>
  </si>
  <si>
    <t>3.1.3</t>
  </si>
  <si>
    <t>Ferrure métallique de fixation des fermes</t>
  </si>
  <si>
    <t>4.1</t>
  </si>
  <si>
    <t>4.1.1</t>
  </si>
  <si>
    <t>4.1.2</t>
  </si>
  <si>
    <t>Faitiere crantée.</t>
  </si>
  <si>
    <t>4.1.2.1</t>
  </si>
  <si>
    <t>4.1.3</t>
  </si>
  <si>
    <t>4.1.3.1</t>
  </si>
  <si>
    <t>Bardage en tôle</t>
  </si>
  <si>
    <t xml:space="preserve">ens </t>
  </si>
  <si>
    <t>7.1</t>
  </si>
  <si>
    <t>7.2</t>
  </si>
  <si>
    <t xml:space="preserve">Portes metalliques tolées sur 1 faces </t>
  </si>
  <si>
    <t>Portes metalliques tolées sur 1 faces pour placards</t>
  </si>
  <si>
    <t>10.1</t>
  </si>
  <si>
    <r>
      <t xml:space="preserve"> Peinture ext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</si>
  <si>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soubassement et parties courantes</t>
    </r>
  </si>
  <si>
    <r>
      <t xml:space="preserve"> Peinture int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rieure</t>
    </r>
  </si>
  <si>
    <t>Peinture glycero sur ouvrages bois et  metalliques</t>
  </si>
  <si>
    <r>
      <t xml:space="preserve"> - Peinture glyc</t>
    </r>
    <r>
      <rPr>
        <sz val="12"/>
        <rFont val="Calibri"/>
        <family val="2"/>
      </rPr>
      <t>é</t>
    </r>
    <r>
      <rPr>
        <sz val="12"/>
        <rFont val="Arial"/>
        <family val="2"/>
      </rPr>
      <t>rophtalique sur menuiserie bois, portes metalliques et grilles anti vol</t>
    </r>
  </si>
  <si>
    <t>Ardoisine en 2 couches sur tableau en ciment</t>
  </si>
  <si>
    <t>Claustras de 22 x 22x20, type BAD (dimension 250 cm x 110 cm) 3 par salle</t>
  </si>
  <si>
    <t>9.1</t>
  </si>
  <si>
    <t>4.1.1.1</t>
  </si>
  <si>
    <t xml:space="preserve"> TRAVAUX PRELIMINAIRES</t>
  </si>
  <si>
    <t xml:space="preserve">LOT 1 </t>
  </si>
  <si>
    <t>GROS OEUVRES</t>
  </si>
  <si>
    <t xml:space="preserve">ELEVATION </t>
  </si>
  <si>
    <t>2.2.2.3</t>
  </si>
  <si>
    <t>2.3.3.4</t>
  </si>
  <si>
    <t>Construction d'escaliers existants</t>
  </si>
  <si>
    <t xml:space="preserve"> TOTAL Gros Oeuvres</t>
  </si>
  <si>
    <t>TOTAL Charpente Bois</t>
  </si>
  <si>
    <t>TOTAL Travaux Preliminaires</t>
  </si>
  <si>
    <t>TOTAL  des Terrassements</t>
  </si>
  <si>
    <t>TOTAL Couverture</t>
  </si>
  <si>
    <r>
      <t>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</si>
  <si>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TOTAL Serrurerie</t>
  </si>
  <si>
    <t>TOTAL Peinture</t>
  </si>
  <si>
    <t>Couverture en tole bac aluzinc</t>
  </si>
  <si>
    <t>Etanchéité Toiture sur les têtes des tire-fonds</t>
  </si>
  <si>
    <t>7.1.1</t>
  </si>
  <si>
    <t>7.2.1</t>
  </si>
  <si>
    <t>9.1.1</t>
  </si>
  <si>
    <t>10.1.1</t>
  </si>
  <si>
    <t>10.1.2</t>
  </si>
  <si>
    <t>10.2</t>
  </si>
  <si>
    <t>10.2.1</t>
  </si>
  <si>
    <t>10.4</t>
  </si>
  <si>
    <t>10.4.1</t>
  </si>
  <si>
    <t xml:space="preserve">FONDATION </t>
  </si>
  <si>
    <t xml:space="preserve"> MACONNERIE </t>
  </si>
  <si>
    <t xml:space="preserve">Implantation des bâtiments </t>
  </si>
  <si>
    <t>Installation de chantier</t>
  </si>
  <si>
    <t>forfait</t>
  </si>
  <si>
    <t xml:space="preserve">         * Enduits ext. dosés à 250 kg/m3 sur maçonnerie</t>
  </si>
  <si>
    <t xml:space="preserve"> - Béton armé pour semelle filante dosé à 350 kg/m3</t>
  </si>
  <si>
    <t xml:space="preserve">         * Enduits int. dosés à 250 kg/m3 sur maçonnerie</t>
  </si>
  <si>
    <t xml:space="preserve"> - Agglos pleins de 15 cm en brique classique</t>
  </si>
  <si>
    <t>TRAVAUX PRELIMINAIRES</t>
  </si>
  <si>
    <t>ff</t>
  </si>
  <si>
    <t>TOTAL TRAVAUX PRELIMINAIRES</t>
  </si>
  <si>
    <t>TERRASSEMENTS PARTICULIERS</t>
  </si>
  <si>
    <t>Remblai provenant des fouilles</t>
  </si>
  <si>
    <t xml:space="preserve">Remblai  sous dallage </t>
  </si>
  <si>
    <t>Sous-total Terrassement particuliers</t>
  </si>
  <si>
    <t>MACONNERIE BETON ARME</t>
  </si>
  <si>
    <t>Semelle filante EP = 20 cm dosé à 200 kg/m3</t>
  </si>
  <si>
    <t>2.2.1.2.1</t>
  </si>
  <si>
    <t>2.2.1.3.2</t>
  </si>
  <si>
    <t>Amorce des poteaux en BA dosé à 3000 kg/m3</t>
  </si>
  <si>
    <t>2.2.1.3.1</t>
  </si>
  <si>
    <t>2.2.1.3.3</t>
  </si>
  <si>
    <t>Chaînage bas en B.A dosé à 300 kg/m3</t>
  </si>
  <si>
    <t>2.2.1.4.1</t>
  </si>
  <si>
    <t>2.2.1.4.2</t>
  </si>
  <si>
    <t>2.2.1.4.3</t>
  </si>
  <si>
    <t>Agglos pleins de 15</t>
  </si>
  <si>
    <t>Dallage au sol en béton armé dosé à 300 kg/m3</t>
  </si>
  <si>
    <t>2.2.1.6.1</t>
  </si>
  <si>
    <t>Agglos 15 creux</t>
  </si>
  <si>
    <t>Poteaux et raidisseurs en béton armé dosé à 350 kg/m3</t>
  </si>
  <si>
    <t>2.2.2.3.1</t>
  </si>
  <si>
    <t>2.2.2.3.2</t>
  </si>
  <si>
    <t>2.2.2.3.3</t>
  </si>
  <si>
    <t xml:space="preserve">         * Coffrage 12 kg/m3</t>
  </si>
  <si>
    <t>Chaînage haut et linteaux dosés à 350 kg/m3</t>
  </si>
  <si>
    <t>2.2.2.5.1</t>
  </si>
  <si>
    <t>2.2.2.5.2</t>
  </si>
  <si>
    <t>2.2.2.5.3</t>
  </si>
  <si>
    <t>Console en BA dosé à 350 kg/m3</t>
  </si>
  <si>
    <t>2.2.2.8.1</t>
  </si>
  <si>
    <t>2.2.2.8.2</t>
  </si>
  <si>
    <t>2.2.2.8.3</t>
  </si>
  <si>
    <t>2.2.2.9</t>
  </si>
  <si>
    <t>2.2.2.9.1</t>
  </si>
  <si>
    <t xml:space="preserve"> * Enduits dosés à 250 kg/m3 </t>
  </si>
  <si>
    <t>2.2.2.10</t>
  </si>
  <si>
    <t xml:space="preserve">Chape incorporée et bouchardée  dosé à 300 kg/m3 </t>
  </si>
  <si>
    <t>2.2.2.11</t>
  </si>
  <si>
    <t>Claustras de 22 x 22x20, type projet BAD</t>
  </si>
  <si>
    <t>2.3.1.4</t>
  </si>
  <si>
    <t xml:space="preserve"> placard en maçonnerie </t>
  </si>
  <si>
    <t xml:space="preserve">         * placard en maçonnerie de 60 x 150 x 100 cm</t>
  </si>
  <si>
    <t>2.3.5</t>
  </si>
  <si>
    <t>Estrade</t>
  </si>
  <si>
    <t>2.3.5.1</t>
  </si>
  <si>
    <t xml:space="preserve">Fouilles en rigole </t>
  </si>
  <si>
    <t>2.3.5.2</t>
  </si>
  <si>
    <t>Remblai  sous l'estrade</t>
  </si>
  <si>
    <t>2.3.5.3</t>
  </si>
  <si>
    <t>Béton de propreté EP = 0,05 dosé à 150 kg/m3</t>
  </si>
  <si>
    <t>2.3.5.4</t>
  </si>
  <si>
    <t>Agglos pleins de 15 d'épaisseur</t>
  </si>
  <si>
    <t>2.3.5.5</t>
  </si>
  <si>
    <t>Dallage de l'estrade en béton armé dosé à 350 kg/m3</t>
  </si>
  <si>
    <t>2.3.5.5.1</t>
  </si>
  <si>
    <t>2.3.5.5.2</t>
  </si>
  <si>
    <t xml:space="preserve">         * Armature en treilli de fer diam.6</t>
  </si>
  <si>
    <t>2.3.5.5.3</t>
  </si>
  <si>
    <t>2.3.5.6</t>
  </si>
  <si>
    <t>Enduits sur l'estrade</t>
  </si>
  <si>
    <t>Charpente</t>
  </si>
  <si>
    <t xml:space="preserve">Faitiere prefabriquée </t>
  </si>
  <si>
    <t>5.1.3</t>
  </si>
  <si>
    <t>5.1.3.1</t>
  </si>
  <si>
    <t>Bardage en tôle bac colorée h=30 cm</t>
  </si>
  <si>
    <t>Etanchéité sur les têtes de pointe</t>
  </si>
  <si>
    <t>FAUX PLAFOND EN CP 8 mm</t>
  </si>
  <si>
    <t>Faux plafond en contre- plaqué de 8 mm, dans les magasins</t>
  </si>
  <si>
    <t>Pose de baguettes</t>
  </si>
  <si>
    <t>TOTAL FAUX PLAFOND EN CP 8mm</t>
  </si>
  <si>
    <t xml:space="preserve">Portes metalliques </t>
  </si>
  <si>
    <t>Porte métallique</t>
  </si>
  <si>
    <t>7.1.1.1</t>
  </si>
  <si>
    <t xml:space="preserve">  * 100 x 100 </t>
  </si>
  <si>
    <t>7.1.1.2</t>
  </si>
  <si>
    <t xml:space="preserve">  * 90 x 210</t>
  </si>
  <si>
    <t>Fenêtre</t>
  </si>
  <si>
    <t>Fenêtre métallique de deux battants</t>
  </si>
  <si>
    <t>8.1.3</t>
  </si>
  <si>
    <t>8.1.3.1</t>
  </si>
  <si>
    <t>Grès cerame 15x15 cm pour placard et console</t>
  </si>
  <si>
    <t>8.1.3.2</t>
  </si>
  <si>
    <t>faîence h=1 m</t>
  </si>
  <si>
    <t xml:space="preserve">Vinyl sur murs extérieurs  </t>
  </si>
  <si>
    <t>9.1.2</t>
  </si>
  <si>
    <t>Peinture glycérophtalique sur soubassement et parties courantes</t>
  </si>
  <si>
    <t>9.2</t>
  </si>
  <si>
    <t>9.2.1</t>
  </si>
  <si>
    <t>Vinyl sur murs intérieurs 2 couches</t>
  </si>
  <si>
    <t>9.2.2</t>
  </si>
  <si>
    <t xml:space="preserve">Vinyl faux plafond et séparateur de placard en c/p, 2 couches </t>
  </si>
  <si>
    <t>9.3</t>
  </si>
  <si>
    <t>9.3.1</t>
  </si>
  <si>
    <t xml:space="preserve">Peinture glycérophtalique sur portes et fenêtres metalliques </t>
  </si>
  <si>
    <t>Total Cantine</t>
  </si>
  <si>
    <t>MONTANT TOTAL DU MARCHE</t>
  </si>
  <si>
    <t>CONSTRUCTION DE TROIS SALLES  CLASSES + BUREAU</t>
  </si>
  <si>
    <t>CONSTRUCTION DE CANTINE</t>
  </si>
  <si>
    <r>
      <t>m</t>
    </r>
    <r>
      <rPr>
        <vertAlign val="superscript"/>
        <sz val="11"/>
        <rFont val="Calibri"/>
        <family val="2"/>
        <scheme val="minor"/>
      </rPr>
      <t>3</t>
    </r>
  </si>
  <si>
    <r>
      <t>m</t>
    </r>
    <r>
      <rPr>
        <vertAlign val="superscript"/>
        <sz val="11"/>
        <rFont val="Calibri"/>
        <family val="2"/>
        <scheme val="minor"/>
      </rPr>
      <t>2</t>
    </r>
  </si>
  <si>
    <t>2.3.4.3</t>
  </si>
  <si>
    <t>- Tableau synoptique de 3,00 x 140 pour classes et bureau</t>
  </si>
  <si>
    <t>TOTAL 3 CLASSES + BUREAU</t>
  </si>
  <si>
    <t>TRAVAUX PRELIMINAIRES ET ASSAINISSEMENT</t>
  </si>
  <si>
    <t>1.2.1</t>
  </si>
  <si>
    <t>1.2.2</t>
  </si>
  <si>
    <t>SOUS/TOTAL terrassement</t>
  </si>
  <si>
    <t>TOTAL TRAVAUX PRELIMINAIRES ET ASSAINISSEMENT</t>
  </si>
  <si>
    <t xml:space="preserve"> MACONNERIE BETON ARME</t>
  </si>
  <si>
    <t>2.1.1</t>
  </si>
  <si>
    <t>2.1.1.1</t>
  </si>
  <si>
    <t xml:space="preserve"> - Agglos pleins de 15 en ciment</t>
  </si>
  <si>
    <t>2.1.1.2</t>
  </si>
  <si>
    <t xml:space="preserve"> - Raidisseur en béton armé dosé à 350 kg/m3</t>
  </si>
  <si>
    <t>2.1.1.3</t>
  </si>
  <si>
    <t>- Dallage en B.A de 15 cm</t>
  </si>
  <si>
    <t xml:space="preserve">         * Aciers Tors HA 12 kg/m3</t>
  </si>
  <si>
    <t>2.1.1.4</t>
  </si>
  <si>
    <t xml:space="preserve">        * Béton</t>
  </si>
  <si>
    <t xml:space="preserve">        * Aciers Tors HA  80 kg/m3</t>
  </si>
  <si>
    <t xml:space="preserve">        * Coffrage 12 m2/m3</t>
  </si>
  <si>
    <t>2.1.2</t>
  </si>
  <si>
    <t>2.1.2.1</t>
  </si>
  <si>
    <t>2.1.2.2</t>
  </si>
  <si>
    <t>- Raidisseur en béton armé dosé à 350 kg/m3</t>
  </si>
  <si>
    <t>2.1.2.3</t>
  </si>
  <si>
    <t>- Chainage haut en béton armé dosé à 350 kg/m3</t>
  </si>
  <si>
    <t>2.1.2.4</t>
  </si>
  <si>
    <t>2.1.2.5</t>
  </si>
  <si>
    <t>Claustras de 24 x 24 carré, type projet BAD</t>
  </si>
  <si>
    <r>
      <t>m</t>
    </r>
    <r>
      <rPr>
        <vertAlign val="superscript"/>
        <sz val="12"/>
        <rFont val="Arial "/>
      </rPr>
      <t>2</t>
    </r>
  </si>
  <si>
    <t>2.2</t>
  </si>
  <si>
    <t xml:space="preserve"> Escalier en agglos pleins de 15 cm d'épaisseur</t>
  </si>
  <si>
    <t>Panne de 8 x 8cm</t>
  </si>
  <si>
    <t>5.1.1.1</t>
  </si>
  <si>
    <t>5.1.2</t>
  </si>
  <si>
    <t>5.1.2.1</t>
  </si>
  <si>
    <t>5.1.4</t>
  </si>
  <si>
    <t>Acessoires de pose</t>
  </si>
  <si>
    <t>5.1.4.1</t>
  </si>
  <si>
    <t>Tire- fonds complets</t>
  </si>
  <si>
    <t>6.1</t>
  </si>
  <si>
    <t>6.1.1</t>
  </si>
  <si>
    <t>Porte métallique tôlée sur une face</t>
  </si>
  <si>
    <t xml:space="preserve">  * 70 x 200</t>
  </si>
  <si>
    <t>PLOMBERIE SANITAIRE</t>
  </si>
  <si>
    <t>8.1</t>
  </si>
  <si>
    <t xml:space="preserve"> PLOMBERIE</t>
  </si>
  <si>
    <t>8.1.1</t>
  </si>
  <si>
    <t>Appareillage</t>
  </si>
  <si>
    <t>8.1.1.1</t>
  </si>
  <si>
    <t>8.1.1.2</t>
  </si>
  <si>
    <t>TOTAL PLOMBERIE</t>
  </si>
  <si>
    <t>9.1.1.2</t>
  </si>
  <si>
    <t xml:space="preserve"> - Peinture glycérophtalique sur portes métalliques</t>
  </si>
  <si>
    <t>Nettoyage et décapage</t>
  </si>
  <si>
    <t xml:space="preserve"> - Fouilles en rigole pour terrasse 85 x 60 cm</t>
  </si>
  <si>
    <t xml:space="preserve"> - Dallage au sol en béton armé dosé à 300 kg/m3 ép=10cm</t>
  </si>
  <si>
    <t xml:space="preserve"> - Mur en agglos creux de 15 cm d'épaisseur</t>
  </si>
  <si>
    <t>Tôle onduilée colorée ht= 40 cm</t>
  </si>
  <si>
    <t>Porte métallique  146 x 220 pour classes</t>
  </si>
  <si>
    <t>Tableau</t>
  </si>
  <si>
    <t>Coefficient d'éloignement</t>
  </si>
  <si>
    <t>TOTAL GENERAL 3 CLASSES + BUREAU HT</t>
  </si>
  <si>
    <t>Linéaire de fouille</t>
  </si>
  <si>
    <t>Escalier en agglos pleins de 15 d'épaisseur</t>
  </si>
  <si>
    <t>Fouilles en rigole 85 x 60 cm</t>
  </si>
  <si>
    <t xml:space="preserve">         * Aciers Tors HA  80 kg/m3</t>
  </si>
  <si>
    <t xml:space="preserve">Devis de constructoin d'une cantine </t>
  </si>
  <si>
    <t xml:space="preserve">  CONSTRUCTION D'UN BATIMENT TROIS CLASSES + BUREAU </t>
  </si>
  <si>
    <t xml:space="preserve">         * Bordure en agglo 10 ordinaire en mortier de ciment y compris fouilles, pose sur béton de propreté, enduit et peinture en façade avant et arrière</t>
  </si>
  <si>
    <t>TOTAL MARCHE HT</t>
  </si>
  <si>
    <r>
      <t>N</t>
    </r>
    <r>
      <rPr>
        <b/>
        <sz val="10"/>
        <rFont val="Calibri"/>
        <family val="2"/>
      </rPr>
      <t>°</t>
    </r>
    <r>
      <rPr>
        <b/>
        <sz val="10"/>
        <rFont val="Arial"/>
        <family val="2"/>
      </rPr>
      <t xml:space="preserve"> D'ORD.</t>
    </r>
  </si>
  <si>
    <t>Porte métallique  90 x 220 pour classes et bureau + magasin</t>
  </si>
  <si>
    <t xml:space="preserve">Pour les salles de classe et bureau 200 x 140 </t>
  </si>
  <si>
    <t xml:space="preserve"> - Dallage au sol en béton armé dosé à 300 kg/m3</t>
  </si>
  <si>
    <t>Tôle onduilée  ht= 40 cm</t>
  </si>
  <si>
    <t>Pour les salles de classe</t>
  </si>
  <si>
    <t xml:space="preserve"> - Amorce des poteaux en BA dosé à 350 kg/m3</t>
  </si>
  <si>
    <t xml:space="preserve"> - Chaînage bas en B.A dosé à 350 kg/m3</t>
  </si>
  <si>
    <t xml:space="preserve">         * Aciers Tors HA  60 kg/m3</t>
  </si>
  <si>
    <t xml:space="preserve">         * Enduits int. 1 face dosés à 250 kg/m3 </t>
  </si>
  <si>
    <t>2.1.1.5</t>
  </si>
  <si>
    <t xml:space="preserve">Chape ciment lissée  dosé à 300 kg/m3 </t>
  </si>
  <si>
    <t>ASSAINISSEMENT SECONDAIRE</t>
  </si>
  <si>
    <t xml:space="preserve"> * Dim. 60 x 90</t>
  </si>
  <si>
    <t>TOTAL ASSAINISSEMENT SECONDAIRE</t>
  </si>
  <si>
    <t>Coéfficient d'éloignement</t>
  </si>
  <si>
    <t xml:space="preserve">Nettoyage et décapage du terrain </t>
  </si>
  <si>
    <t>2.2.2.2</t>
  </si>
  <si>
    <t>2.2.2.4</t>
  </si>
  <si>
    <t>2.3.4.1</t>
  </si>
  <si>
    <t>6.1.2</t>
  </si>
  <si>
    <t>6.2</t>
  </si>
  <si>
    <t>6.2.1</t>
  </si>
  <si>
    <t>6.3</t>
  </si>
  <si>
    <t>6.3.1</t>
  </si>
  <si>
    <t>7.1.2</t>
  </si>
  <si>
    <t>7.3</t>
  </si>
  <si>
    <t>7.2.2</t>
  </si>
  <si>
    <t>7.2.3</t>
  </si>
  <si>
    <t>7.3.1</t>
  </si>
  <si>
    <t>7.3.2</t>
  </si>
  <si>
    <t>Placards en maçonnerie des classes et bureaux (140 cm x 200 cm) avec dalette et étagères en BA</t>
  </si>
  <si>
    <t>Bibliothèques en maçonnerie des classes et bureaux (140 cm x 200 cm) avec dalette et étagères en BA</t>
  </si>
  <si>
    <t>- Tableau de 6,00 x 140 avec pose craie pour classes</t>
  </si>
  <si>
    <t>Enduit pentécôte sur mur pour tableau</t>
  </si>
  <si>
    <t>VITRERIE</t>
  </si>
  <si>
    <t>TOTAL VITRERIE</t>
  </si>
  <si>
    <t>Antivol en tube carré ép=3</t>
  </si>
  <si>
    <t>Antivol pour fénêtres de bureau</t>
  </si>
  <si>
    <t>Fenêtres vitrées type naco</t>
  </si>
  <si>
    <t>Cadre en bois rouge</t>
  </si>
  <si>
    <t>Naco en allu</t>
  </si>
  <si>
    <t xml:space="preserve">Vitre </t>
  </si>
  <si>
    <t>Verre claire de largeur 15</t>
  </si>
  <si>
    <r>
      <t>N</t>
    </r>
    <r>
      <rPr>
        <b/>
        <sz val="12"/>
        <rFont val="Calibri"/>
        <family val="2"/>
      </rPr>
      <t>°</t>
    </r>
    <r>
      <rPr>
        <b/>
        <sz val="12"/>
        <rFont val="Arial"/>
        <family val="2"/>
      </rPr>
      <t xml:space="preserve"> D'ORD.</t>
    </r>
  </si>
  <si>
    <t>LOT 1 - TRAVAUX PRELIMINAIRES</t>
  </si>
  <si>
    <t xml:space="preserve"> - Installation de chantier</t>
  </si>
  <si>
    <t>f</t>
  </si>
  <si>
    <t>SOUS/TOTAL Travaux Preliminaires</t>
  </si>
  <si>
    <t>LOT 2 - GROS OEUVRES</t>
  </si>
  <si>
    <t xml:space="preserve"> - Fouilles en rigole pour terrasse 50 x 60 cm</t>
  </si>
  <si>
    <t>SOUS/TOTAL  des Terrassements</t>
  </si>
  <si>
    <t>FONDATION (terrasse à créer)</t>
  </si>
  <si>
    <t xml:space="preserve"> - Gros béton de semelle filante dosé à 350 kg/m3</t>
  </si>
  <si>
    <t>2.2.1.2.2</t>
  </si>
  <si>
    <t xml:space="preserve">         * Aciers Tors HA  40 kg/m3</t>
  </si>
  <si>
    <t>2.2.1.2.3</t>
  </si>
  <si>
    <t xml:space="preserve">         * Coffrage  2 m2/m3</t>
  </si>
  <si>
    <t xml:space="preserve"> - Amorce de poteaux 15x20 cm en BA dosé à 350 kg/m3 </t>
  </si>
  <si>
    <t xml:space="preserve"> - Chaînage bas en B.A dosé à 300 kg/m3</t>
  </si>
  <si>
    <t xml:space="preserve"> - Agglos pleins de 15</t>
  </si>
  <si>
    <t xml:space="preserve"> - Dallage au sol en béton armé dosé à 250 kg/m3</t>
  </si>
  <si>
    <t xml:space="preserve">         * démolition de dallage </t>
  </si>
  <si>
    <t>2.2.1.6.2</t>
  </si>
  <si>
    <t xml:space="preserve">         * Béton y/c compris chape bouchardée</t>
  </si>
  <si>
    <t>2.2.1.6.3</t>
  </si>
  <si>
    <t xml:space="preserve">         * Armature en treilli de fer diam.6, 3 kg/m²</t>
  </si>
  <si>
    <t>2.2.1.6.4</t>
  </si>
  <si>
    <t>2.2.1.7.1</t>
  </si>
  <si>
    <t xml:space="preserve">         * Bordure en agglo 10 ordinaire en mortier de ciment y compris fouilles, pose sur béton de propreté, enduit et peinture en façade arrière</t>
  </si>
  <si>
    <t>2.2.1.7.2</t>
  </si>
  <si>
    <t>2.2.1.7.3</t>
  </si>
  <si>
    <t xml:space="preserve"> - Bac à fleur en briques </t>
  </si>
  <si>
    <t xml:space="preserve">         * Bordure en agglo 10 ordinaire en mortier de ciment y compris fouilles, pose sur béton de propreté, apport de terre et planting de fleur, enduit et peinture en façade avant </t>
  </si>
  <si>
    <t>ELEVATION (réhausse de mur et pignon)</t>
  </si>
  <si>
    <t xml:space="preserve"> - Démolition de mur pignon pour réhausse des murs </t>
  </si>
  <si>
    <t xml:space="preserve"> - Agglos creux de 15 d'épaisseur de trois rangées y/c pignon</t>
  </si>
  <si>
    <t xml:space="preserve"> - Traitement des fissures</t>
  </si>
  <si>
    <t xml:space="preserve"> - démolition de mur pour poteaux et raidisseurs</t>
  </si>
  <si>
    <t>2.2.2.4.1</t>
  </si>
  <si>
    <t>2.2.2.4.2</t>
  </si>
  <si>
    <t>2.2.2.4.3</t>
  </si>
  <si>
    <t xml:space="preserve"> - Appui de baies en BA dosé à 350 kg/m3</t>
  </si>
  <si>
    <t>2.2.2.6.1</t>
  </si>
  <si>
    <t>2.2.2.6.2</t>
  </si>
  <si>
    <t xml:space="preserve">         * Aciers Tors HA 40 kg/m3</t>
  </si>
  <si>
    <t>2.2.2.6.3</t>
  </si>
  <si>
    <t xml:space="preserve"> - Couronnement des murs et pignons en fixation des ferrures</t>
  </si>
  <si>
    <t xml:space="preserve">   en BA dosé à 350 kg/m3</t>
  </si>
  <si>
    <t>2.2.2.7.1</t>
  </si>
  <si>
    <t>2.2.2.7.2</t>
  </si>
  <si>
    <t>2.2.2.7.3</t>
  </si>
  <si>
    <t xml:space="preserve"> - Console en BA dosé à 350 kg/m3</t>
  </si>
  <si>
    <t xml:space="preserve"> * Enduits ext. dosés à 250 kg/m3 sur maçonnerie</t>
  </si>
  <si>
    <t>2.2.2.9.2</t>
  </si>
  <si>
    <t xml:space="preserve"> * Enduits int. dosés à 250 kg/m3 </t>
  </si>
  <si>
    <t>2.2.2.12</t>
  </si>
  <si>
    <t>Démolition de claustras existant et aggrandissement de baie</t>
  </si>
  <si>
    <t>Claustras de 22 x 22x20, type projet BAD dim (250 * 120)</t>
  </si>
  <si>
    <t xml:space="preserve"> - Placards en maçonnerie (classes + bureau) 140 x 210</t>
  </si>
  <si>
    <t xml:space="preserve"> - Bibliothèque en maçonnerie (classes) 140 x 210</t>
  </si>
  <si>
    <t>2.3.1.1</t>
  </si>
  <si>
    <t xml:space="preserve"> - Démolition d'escaliers existants</t>
  </si>
  <si>
    <t>2.3.1.2</t>
  </si>
  <si>
    <t xml:space="preserve"> - Remblai  sous les marches</t>
  </si>
  <si>
    <t>2.3.1.3</t>
  </si>
  <si>
    <t>2.3.1.5</t>
  </si>
  <si>
    <t>Les marches en béton dosé à 350 kg/m3</t>
  </si>
  <si>
    <t>2.3.1.5.1</t>
  </si>
  <si>
    <t>2.3.1.5.2</t>
  </si>
  <si>
    <t>2.3.1.6</t>
  </si>
  <si>
    <t>Enduits des marches</t>
  </si>
  <si>
    <t>2.3.2.1</t>
  </si>
  <si>
    <t>2.3.2.2</t>
  </si>
  <si>
    <t>2.3.2.3</t>
  </si>
  <si>
    <t>2.3.2.4</t>
  </si>
  <si>
    <t>Rampe en BA dosé à 350 kg/m3</t>
  </si>
  <si>
    <t>2.3.2.5.1</t>
  </si>
  <si>
    <t>2.3.2.5.2</t>
  </si>
  <si>
    <t>2.3.2.5.3</t>
  </si>
  <si>
    <t xml:space="preserve">Dalettes de couverture pour placard et bibliothèque </t>
  </si>
  <si>
    <t>en BA dosé à 350 kg/m3, ép =5 cm</t>
  </si>
  <si>
    <t xml:space="preserve">         * Coffrage soigné 2 m2/m3</t>
  </si>
  <si>
    <t>Etagères en BA  pour placard et bibliothèque, ép=5cm</t>
  </si>
  <si>
    <t>2.3.6</t>
  </si>
  <si>
    <t>2.3.6.1</t>
  </si>
  <si>
    <t>Démolition des tableau existants</t>
  </si>
  <si>
    <t>Tableau de 6 x 140 avec pose craie</t>
  </si>
  <si>
    <t>F/P de pose craie en planche 15 cm</t>
  </si>
  <si>
    <t>2.3.6.3</t>
  </si>
  <si>
    <t>Tableau synoptique  300 x 140</t>
  </si>
  <si>
    <t xml:space="preserve"> SOUS/TOTAL Gros Oeuvres</t>
  </si>
  <si>
    <t xml:space="preserve"> LOT 3 - CHARPENTE BOIS</t>
  </si>
  <si>
    <t>ens</t>
  </si>
  <si>
    <t>Arbaletrier en planche de 3 x 4 x 20 cm</t>
  </si>
  <si>
    <t>Entrait en planche de  3 x 4 x 20 cm</t>
  </si>
  <si>
    <t>3.1.4</t>
  </si>
  <si>
    <t>Jambette en planche de  3 x 30 cm</t>
  </si>
  <si>
    <t>3.1.5</t>
  </si>
  <si>
    <t>Contre- fiche en planche   4 x 20 cm</t>
  </si>
  <si>
    <t>3.1.6</t>
  </si>
  <si>
    <t>Panne de 6 x 11cm</t>
  </si>
  <si>
    <t>3.1.7</t>
  </si>
  <si>
    <t>pqt</t>
  </si>
  <si>
    <t>SOUS/TOTAL Charpente Bois</t>
  </si>
  <si>
    <t>LOT 4 - COUVERTURE</t>
  </si>
  <si>
    <t>4.1.1.2</t>
  </si>
  <si>
    <t>Couverture en tole bac alu colorée 7/10 y/c tire-fonds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</si>
  <si>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colorée 7/10 y/c tire-fonds</t>
    </r>
  </si>
  <si>
    <t>SOUS/TOTAL Couverture</t>
  </si>
  <si>
    <t>LOT 5 - ETANCHEITE</t>
  </si>
  <si>
    <t xml:space="preserve"> Etanchéité Toiture sur les têtes des tire-fonds</t>
  </si>
  <si>
    <r>
      <t>SOUS/TOTAL Etanch</t>
    </r>
    <r>
      <rPr>
        <b/>
        <sz val="12"/>
        <rFont val="Calibri"/>
        <family val="2"/>
      </rPr>
      <t>é</t>
    </r>
    <r>
      <rPr>
        <b/>
        <sz val="12"/>
        <rFont val="Arial"/>
        <family val="2"/>
      </rPr>
      <t>it</t>
    </r>
    <r>
      <rPr>
        <b/>
        <sz val="12"/>
        <rFont val="Calibri"/>
        <family val="2"/>
      </rPr>
      <t>é</t>
    </r>
  </si>
  <si>
    <t>LOT 6 -  MENUISERIE BOIS ET VITRERIE</t>
  </si>
  <si>
    <t xml:space="preserve"> Menuiserie bois</t>
  </si>
  <si>
    <t xml:space="preserve">Dépose de porte en bois </t>
  </si>
  <si>
    <t>Porte bois plein y compris cadre</t>
  </si>
  <si>
    <t>6.1.2.1</t>
  </si>
  <si>
    <t xml:space="preserve">  * 120 x 210</t>
  </si>
  <si>
    <t>6.1.2.2</t>
  </si>
  <si>
    <t xml:space="preserve"> Vitrerie</t>
  </si>
  <si>
    <t>Fenêtre vitrée</t>
  </si>
  <si>
    <t>6.2.1.1</t>
  </si>
  <si>
    <t>Chassis de 6 lames de type  naco, par paire</t>
  </si>
  <si>
    <t>6.2.1.2</t>
  </si>
  <si>
    <t>Verre clair de 6 mm</t>
  </si>
  <si>
    <t>SOUS/TOTAL Menuiserie bois- vitrerie</t>
  </si>
  <si>
    <t>LOT 7 - FAUX PLAFOND EN CP 8 mm</t>
  </si>
  <si>
    <t>Ossature en chevron de 6 x4 pour les classes</t>
  </si>
  <si>
    <t>Ossature en chevron de 6 x4 pour bureau et magasin</t>
  </si>
  <si>
    <t xml:space="preserve">Faux plafond en contre- plaqué de 8 mm, </t>
  </si>
  <si>
    <t>Dépose de faux plafond</t>
  </si>
  <si>
    <t>Pose de faux plafond en cp 8 mm y/c ossature et baguettes</t>
  </si>
  <si>
    <t>SOUS/TOTAL Faux Plafond en CP 8 mm</t>
  </si>
  <si>
    <t>LOT 8 -  MENUISERIE METALLIQUE Y/C SERRURERIE</t>
  </si>
  <si>
    <t>8.1.1,1</t>
  </si>
  <si>
    <t>Porte métallique  90 x 200 pour bureau</t>
  </si>
  <si>
    <t>8.2</t>
  </si>
  <si>
    <t>8.2.1</t>
  </si>
  <si>
    <t>Porte metallique pour bureau et magasin</t>
  </si>
  <si>
    <t>8.2.2</t>
  </si>
  <si>
    <t>8.3</t>
  </si>
  <si>
    <t>Anti - vol métallique</t>
  </si>
  <si>
    <t>8.3.1</t>
  </si>
  <si>
    <t xml:space="preserve">Anti - vol pour fenêtre </t>
  </si>
  <si>
    <t>8.3.1.1</t>
  </si>
  <si>
    <t xml:space="preserve">   * 120 x 110</t>
  </si>
  <si>
    <t>8.4</t>
  </si>
  <si>
    <t>Portillons metalliques pour cloture</t>
  </si>
  <si>
    <t>8.4.1</t>
  </si>
  <si>
    <t>Portillon sur la galerie      90x150</t>
  </si>
  <si>
    <t>8.4.2</t>
  </si>
  <si>
    <t>Portillon sur la coursive 140x150</t>
  </si>
  <si>
    <t>SOUS/TOTAL Serrurerie</t>
  </si>
  <si>
    <t>LOT 9 - PLOMBRIE - SANITAIRE (sans objet)</t>
  </si>
  <si>
    <t>LOT 10 - ELECTRICITE</t>
  </si>
  <si>
    <t>CIRCUIT ELECTRIQUE</t>
  </si>
  <si>
    <t>10.1.1bis</t>
  </si>
  <si>
    <t xml:space="preserve"> SOUS/TOTAL Electricité</t>
  </si>
  <si>
    <t>lot 10 - PEINTURE</t>
  </si>
  <si>
    <t>11.1</t>
  </si>
  <si>
    <t>11.1.1</t>
  </si>
  <si>
    <t>11.1.2</t>
  </si>
  <si>
    <t>11.2</t>
  </si>
  <si>
    <t>11.2.1</t>
  </si>
  <si>
    <t>11.2.3</t>
  </si>
  <si>
    <t xml:space="preserve"> - Vinyl sur faux plafond en c/p , 2 couches, les classes</t>
  </si>
  <si>
    <t>11.3</t>
  </si>
  <si>
    <t>Vernis marin</t>
  </si>
  <si>
    <t>11.3.1</t>
  </si>
  <si>
    <t xml:space="preserve"> - Vernis marin sur murs extérieurs et intérieurs et claustras 2 couches</t>
  </si>
  <si>
    <t>11.4</t>
  </si>
  <si>
    <t>11.4.1</t>
  </si>
  <si>
    <t>11.5</t>
  </si>
  <si>
    <t>Ardoisine</t>
  </si>
  <si>
    <t>11.5.1</t>
  </si>
  <si>
    <t>Enduit pantecote sur tableau en ciment</t>
  </si>
  <si>
    <t>SOUS/TOTAL Peinture</t>
  </si>
  <si>
    <t xml:space="preserve">                ASSAINISSEMENT</t>
  </si>
  <si>
    <t xml:space="preserve"> - Gros béton de semelle filante dosé à 250 kg/m3</t>
  </si>
  <si>
    <t xml:space="preserve"> - Amorce des poteaux en BA dosé à 300 kg/m3</t>
  </si>
  <si>
    <t xml:space="preserve">         * Béton armé y/c compris chape bouchardée</t>
  </si>
  <si>
    <t xml:space="preserve">         * Armature en treilli de fer diam.6 3 kg/m²</t>
  </si>
  <si>
    <t xml:space="preserve"> - démolition de mur pignon pour réhausse des murs</t>
  </si>
  <si>
    <t xml:space="preserve"> - Agglos creux de 15 d'épaisseur pour réhausse et pignon</t>
  </si>
  <si>
    <t xml:space="preserve"> - démolition de magasin intermédiaire à la terrasse</t>
  </si>
  <si>
    <t xml:space="preserve"> - Placards en maçonnerie (classes + bureau) 14 x 210</t>
  </si>
  <si>
    <t>Tableau de 6 x 140</t>
  </si>
  <si>
    <t>2.3.6.2</t>
  </si>
  <si>
    <t xml:space="preserve">Tableau de 403 x 140 </t>
  </si>
  <si>
    <t xml:space="preserve"> tôle onduilée  ht= 40 cm</t>
  </si>
  <si>
    <t>Dépose de portes et fenêtres</t>
  </si>
  <si>
    <t>Pose de faux pland en cp de 8 mm</t>
  </si>
  <si>
    <t>Porte métallique pour bureau</t>
  </si>
  <si>
    <t>Fenêtres et anti - vol métallique</t>
  </si>
  <si>
    <t xml:space="preserve">   * 100 x 100</t>
  </si>
  <si>
    <t>10.1.2 bis</t>
  </si>
  <si>
    <t>Boite de dérivation 196x152</t>
  </si>
  <si>
    <t>10.1.3 bis</t>
  </si>
  <si>
    <t>Boite  ronde encastrable 62x70x40</t>
  </si>
  <si>
    <t>10.1.4 bis</t>
  </si>
  <si>
    <t>Plaque vierge</t>
  </si>
  <si>
    <t>Enduit pantécôte sur tableau en ciment</t>
  </si>
  <si>
    <t>REHABILITATION DE SIX SALLES  DE CLASSES + BUREAU</t>
  </si>
  <si>
    <t>Installation générale (connection au réseau, fillerie et appareillage)</t>
  </si>
  <si>
    <t>TOTAL  HT</t>
  </si>
  <si>
    <t>Peinture Glycéro sur ouvrages métalliques</t>
  </si>
  <si>
    <t xml:space="preserve"> - Vinyle sur murs intérieurs  et claustras 2 couches</t>
  </si>
  <si>
    <t xml:space="preserve"> - Peinture glycérophtalique sur parties courantes </t>
  </si>
  <si>
    <t xml:space="preserve"> - Vinyle sur murs extérieurs  et claustras 2 couches</t>
  </si>
  <si>
    <t>Faïence h=1 m</t>
  </si>
  <si>
    <t xml:space="preserve">Grès cérame 15x15 cm au sol </t>
  </si>
  <si>
    <t>sol et faïence</t>
  </si>
  <si>
    <t>FF</t>
  </si>
  <si>
    <t>Installation d'un dispositif de lavage des mains à pédale</t>
  </si>
  <si>
    <t xml:space="preserve">Révision du système de ventilation des fosses diam 80 y/c tout accessoire de pose </t>
  </si>
  <si>
    <t>Fourniture et pose de WC turque</t>
  </si>
  <si>
    <t xml:space="preserve">  * 70 x 150 pour terrasse</t>
  </si>
  <si>
    <t>Portes métalliques</t>
  </si>
  <si>
    <t>Etanchéité sur les têtes des tire-fond</t>
  </si>
  <si>
    <t>Accessoires de pose</t>
  </si>
  <si>
    <t xml:space="preserve">         * Enduits int. dosés à 250 kg/m3 </t>
  </si>
  <si>
    <t xml:space="preserve">         * Enduits ext. dosés à 250 kg/m3 </t>
  </si>
  <si>
    <t xml:space="preserve">- Agglos 15 creux </t>
  </si>
  <si>
    <t>- Dalettes de fermeture en béton armé ép. = 10 cm</t>
  </si>
  <si>
    <t>Ecurage des fosses</t>
  </si>
  <si>
    <t>Nettoyage à l'intérieur des cabines et extérieur du bloc</t>
  </si>
  <si>
    <t xml:space="preserve">Total travaux d'achèvement de latrine (8 cabine) à fosse sèche avec dispositifs de lavage des mains </t>
  </si>
  <si>
    <t>TOTAL GENERAL</t>
  </si>
  <si>
    <t xml:space="preserve">NOMBRE DE SITES </t>
  </si>
  <si>
    <t>TOTAL AMENAGEMENT DE JEUX</t>
  </si>
  <si>
    <t>Apport de sable fin de testure blanche</t>
  </si>
  <si>
    <t>Fourniture et pose de pneuds usés diamètre 65</t>
  </si>
  <si>
    <t>EQUIPEMENT DE TERRAIN</t>
  </si>
  <si>
    <t>TRAVAUX D'AMENAGEMENT D'AIRE DE JEUX</t>
  </si>
  <si>
    <t xml:space="preserve">Application de peinture multicollore sur les pneuds </t>
  </si>
  <si>
    <t>Construction de trois bacs à sable (L= 20m, l=15m) bordé de pneud hors usagés (voir photo jointe)</t>
  </si>
  <si>
    <t>Décapage sur toute la surface aire de jeux à 20 cm</t>
  </si>
  <si>
    <t>AMENAGEMENT AIRE DE JEUX</t>
  </si>
  <si>
    <t xml:space="preserve">TRAVAUX D'ACHEVEMENT DE LATRINES (8 cabines) à fosse sèche (FS) </t>
  </si>
  <si>
    <t>Installation générale (sécurel, compteur, fillerie et appareillage)</t>
  </si>
  <si>
    <t>Porte métallique  140 x 220 pour classes</t>
  </si>
  <si>
    <t>Dépose de la charpente et couverture</t>
  </si>
  <si>
    <t>Porte métallique pour classes</t>
  </si>
  <si>
    <t>LOT 8 -  SERRURERIE(quincaillerie 1er choix)</t>
  </si>
  <si>
    <t>TOTAL BATIMENT 1: TROIS CLASSES + BUREAU</t>
  </si>
  <si>
    <t xml:space="preserve">    BATIMENT 1 : TROIS CLASSES + BUREAU + 1 MAGASIN</t>
  </si>
  <si>
    <t xml:space="preserve"> DEVIS QUANTITATIF ET ESTIMATIF DES TRAVAUX DE REHABILITATION DE 6 CLASSES + BUREAU A ISSAKRO: EPP BROUKRO</t>
  </si>
  <si>
    <t xml:space="preserve"> - 10 Raidisseurs et 30 poteaux en béton armé dosé à 350 kg/m3</t>
  </si>
  <si>
    <t xml:space="preserve"> - Chaînage haut pour terrasse dosés à 350 kg/m3</t>
  </si>
  <si>
    <t xml:space="preserve">    BATIMENT 2: TROIS CLASSES </t>
  </si>
  <si>
    <t xml:space="preserve"> - Insertion de 30 poteaux 15x20 cm en BA dosé à 350 kg/m3 ferraillés de 6 HA 10</t>
  </si>
  <si>
    <t>TOTAL BATIMENT 2: TROIS CLASSES</t>
  </si>
  <si>
    <t>TOTAL REHABILITATION EPP BROUKRO</t>
  </si>
  <si>
    <t>TOTAL HT</t>
  </si>
  <si>
    <t>COEFFICIENT D'ELOIGNEMENT</t>
  </si>
  <si>
    <r>
      <rPr>
        <b/>
        <sz val="11"/>
        <rFont val="Arial"/>
        <family val="2"/>
      </rPr>
      <t>TOTAL</t>
    </r>
    <r>
      <rPr>
        <sz val="11"/>
        <rFont val="Arial"/>
        <family val="2"/>
      </rPr>
      <t xml:space="preserve">  </t>
    </r>
    <r>
      <rPr>
        <b/>
        <sz val="11"/>
        <rFont val="Arial"/>
        <family val="2"/>
      </rPr>
      <t>HT</t>
    </r>
  </si>
  <si>
    <t xml:space="preserve">Peinture glycéro sur maçonnerie et ménuiserie métallique </t>
  </si>
  <si>
    <t>F/P de porte métallique de 2,00 x 1,00 m</t>
  </si>
  <si>
    <t>Mur en élévation en agglos 15 creux de 2,00 m de haut</t>
  </si>
  <si>
    <t>Béton de chainage bas en BA</t>
  </si>
  <si>
    <t>Soubassement en agglos 15 plein</t>
  </si>
  <si>
    <t>Béton de semelle filante en BA</t>
  </si>
  <si>
    <t>Fouille en rigole 40 x 50 cm</t>
  </si>
  <si>
    <t>CLOTURE de 2,00 x 2,00 m</t>
  </si>
  <si>
    <t xml:space="preserve">    u</t>
  </si>
  <si>
    <t>Manifold DN 50 comprenant, un filtre, un compteur,</t>
  </si>
  <si>
    <r>
      <rPr>
        <sz val="9"/>
        <rFont val="Arial"/>
        <family val="2"/>
      </rPr>
      <t>Tête de forage en acier galvanisé DN 250</t>
    </r>
  </si>
  <si>
    <r>
      <rPr>
        <sz val="9"/>
        <rFont val="Arial"/>
        <family val="2"/>
      </rPr>
      <t>Margelle pour la pose de la tête de forage 1x1X0.5 m</t>
    </r>
  </si>
  <si>
    <r>
      <rPr>
        <sz val="9"/>
        <rFont val="Arial"/>
        <family val="2"/>
      </rPr>
      <t>Fourniture et pose d'une colonne d'exhaure en matériau flexible</t>
    </r>
  </si>
  <si>
    <r>
      <rPr>
        <sz val="9"/>
        <rFont val="Arial"/>
        <family val="2"/>
      </rPr>
      <t>Fourniture de câbles titanex</t>
    </r>
  </si>
  <si>
    <r>
      <rPr>
        <sz val="9"/>
        <rFont val="Arial"/>
        <family val="2"/>
      </rPr>
      <t>F/P de panneaux solaires et accessoires de pose</t>
    </r>
  </si>
  <si>
    <r>
      <rPr>
        <sz val="9"/>
        <rFont val="Arial"/>
        <family val="2"/>
      </rPr>
      <t>Pompe immergée de 2 à  3m</t>
    </r>
    <r>
      <rPr>
        <vertAlign val="superscript"/>
        <sz val="6"/>
        <rFont val="Arial"/>
        <family val="2"/>
      </rPr>
      <t>3</t>
    </r>
    <r>
      <rPr>
        <sz val="9"/>
        <rFont val="Arial"/>
        <family val="2"/>
      </rPr>
      <t>/h à 90 m de HMT,</t>
    </r>
  </si>
  <si>
    <t>ft</t>
  </si>
  <si>
    <r>
      <rPr>
        <sz val="9"/>
        <rFont val="Arial"/>
        <family val="2"/>
      </rPr>
      <t>Fourniture  et  pose  d'un  réservoir  de  3 m</t>
    </r>
    <r>
      <rPr>
        <vertAlign val="superscript"/>
        <sz val="6"/>
        <rFont val="Arial"/>
        <family val="2"/>
      </rPr>
      <t xml:space="preserve">3   </t>
    </r>
    <r>
      <rPr>
        <sz val="9"/>
        <rFont val="Arial"/>
        <family val="2"/>
      </rPr>
      <t>sur  support</t>
    </r>
    <r>
      <rPr>
        <sz val="10"/>
        <rFont val="Arial"/>
        <family val="2"/>
      </rPr>
      <t xml:space="preserve"> métallique (voir image en annexe</t>
    </r>
  </si>
  <si>
    <r>
      <rPr>
        <b/>
        <sz val="9"/>
        <rFont val="Arial"/>
        <family val="2"/>
      </rPr>
      <t>POMPE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IMERGEE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HYBRIDE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SOLAIRE</t>
    </r>
  </si>
  <si>
    <r>
      <rPr>
        <sz val="9"/>
        <rFont val="Arial"/>
        <family val="2"/>
      </rPr>
      <t>Analyse physico chimique et Microbiologique de l'eau</t>
    </r>
  </si>
  <si>
    <r>
      <rPr>
        <b/>
        <sz val="9"/>
        <rFont val="Arial"/>
        <family val="2"/>
      </rPr>
      <t>ANALYSE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L'EAU</t>
    </r>
  </si>
  <si>
    <r>
      <rPr>
        <sz val="9"/>
        <rFont val="Arial"/>
        <family val="2"/>
      </rPr>
      <t>Essai de pompage de 24 heures au moins avec remontée</t>
    </r>
  </si>
  <si>
    <r>
      <rPr>
        <b/>
        <sz val="9"/>
        <rFont val="Arial"/>
        <family val="2"/>
      </rPr>
      <t>TRAITEMENT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D'EAU</t>
    </r>
  </si>
  <si>
    <r>
      <rPr>
        <sz val="9"/>
        <rFont val="Arial"/>
        <family val="2"/>
      </rPr>
      <t>Remblai et cimentation en surface sur 5 mètres de profondeur</t>
    </r>
  </si>
  <si>
    <r>
      <rPr>
        <sz val="9"/>
        <rFont val="Arial"/>
        <family val="2"/>
      </rPr>
      <t>Gravillonnage de l'espace annulaire avec du gravier quartzeux roulé de
diamètre 2/4 mm</t>
    </r>
  </si>
  <si>
    <r>
      <rPr>
        <sz val="9"/>
        <rFont val="Arial"/>
        <family val="2"/>
      </rPr>
      <t>Fourniture et pose de pvc Ø 125/140 crépine de qualité alimentaire</t>
    </r>
  </si>
  <si>
    <r>
      <rPr>
        <sz val="9"/>
        <rFont val="Arial"/>
        <family val="2"/>
      </rPr>
      <t>Fourniture et pose de pvc Ø 125/140 plein de qualité alimentaire</t>
    </r>
  </si>
  <si>
    <t>TUBAGES</t>
  </si>
  <si>
    <r>
      <rPr>
        <sz val="9"/>
        <rFont val="Arial"/>
        <family val="2"/>
      </rPr>
      <t>Fonçage dans le socle</t>
    </r>
  </si>
  <si>
    <r>
      <rPr>
        <sz val="9"/>
        <rFont val="Arial"/>
        <family val="2"/>
      </rPr>
      <t>Fonçage dans l'altérite</t>
    </r>
  </si>
  <si>
    <t>FORATION</t>
  </si>
  <si>
    <r>
      <rPr>
        <sz val="9"/>
        <rFont val="Arial"/>
        <family val="2"/>
      </rPr>
      <t>Etude géomorphologique et hydrogéologique pour l’implantation du forage</t>
    </r>
  </si>
  <si>
    <r>
      <rPr>
        <b/>
        <sz val="9"/>
        <rFont val="Arial"/>
        <family val="2"/>
      </rPr>
      <t>ETUDE</t>
    </r>
    <r>
      <rPr>
        <sz val="9"/>
        <rFont val="Arial"/>
        <family val="2"/>
      </rPr>
      <t xml:space="preserve">  </t>
    </r>
    <r>
      <rPr>
        <b/>
        <sz val="9"/>
        <rFont val="Arial"/>
        <family val="2"/>
      </rPr>
      <t>GEOPHYSIQUE</t>
    </r>
  </si>
  <si>
    <t>Montant</t>
  </si>
  <si>
    <t>P.U</t>
  </si>
  <si>
    <t>Qté</t>
  </si>
  <si>
    <t>DESIGNATIONS</t>
  </si>
  <si>
    <t>N°</t>
  </si>
  <si>
    <r>
      <t>CONSTRUCTION  D'UN  FORAGE  AVEC ENERGIE SOLAIRE EQUIPE  ET  D'UN  RESERVOIR  DE  3  M</t>
    </r>
    <r>
      <rPr>
        <b/>
        <vertAlign val="superscript"/>
        <sz val="11"/>
        <color theme="0"/>
        <rFont val="Corbel"/>
        <family val="2"/>
      </rPr>
      <t xml:space="preserve">3   </t>
    </r>
    <r>
      <rPr>
        <b/>
        <sz val="11"/>
        <color theme="0"/>
        <rFont val="Corbel"/>
        <family val="2"/>
      </rPr>
      <t xml:space="preserve">POLY  TANK  SUR  UN  SUPPORT METALLIQUE  DE  5  M  DE  HAUT  
</t>
    </r>
  </si>
  <si>
    <t>RECAPITULATIF LOT 5 ISSAKRO</t>
  </si>
  <si>
    <t>REHABILITATIOB DE LATRINE A 8 CABINES</t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</si>
  <si>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 colorée  y/c tire-fonds</t>
    </r>
  </si>
  <si>
    <r>
      <t>Faitiere prefabriqu</t>
    </r>
    <r>
      <rPr>
        <sz val="12"/>
        <rFont val="Calibri"/>
        <family val="2"/>
      </rPr>
      <t>é</t>
    </r>
    <r>
      <rPr>
        <sz val="12"/>
        <rFont val="Arial"/>
        <family val="2"/>
      </rPr>
      <t>e en bac aluzinc colorée y/c tire-fonds</t>
    </r>
  </si>
  <si>
    <t>Tôle bac colorée y/c toutes sujection de pose</t>
  </si>
  <si>
    <t>Bardage en tôle bac alu zinc  ht=30</t>
  </si>
  <si>
    <t>FORAGE A ENERGIE SOLAIRE</t>
  </si>
  <si>
    <t>Couverture en tole bac aluzinc colorée ép 0,30/0,32 y/c tire-fonds</t>
  </si>
  <si>
    <t>Couverture en tôle bac aluzinc colorée ép 0,30/0,32 y/c tire-fonds</t>
  </si>
  <si>
    <t>Couverture en tôle bac alu zinc ép 0,30/0,32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</si>
</sst>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#,##0.0"/>
    <numFmt numFmtId="165" formatCode="0.000"/>
    <numFmt numFmtId="166" formatCode="_-* #,##0_-;\-* #,##0_-;_-* &quot;-&quot;??_-;_-@_-"/>
    <numFmt numFmtId="167" formatCode="_-* #,##0.00\ _€_-;\-* #,##0.00\ _€_-;_-* &quot;-&quot;??\ _€_-;_-@_-"/>
    <numFmt numFmtId="168" formatCode="_-* #,##0\ _€_-;\-* #,##0\ _€_-;_-* &quot;-&quot;??\ _€_-;_-@_-"/>
  </numFmts>
  <fonts count="61">
    <font>
      <sz val="11"/>
      <color theme="1"/>
      <name val="Calibri"/>
      <family val="2"/>
      <scheme val="minor"/>
    </font>
    <font>
      <sz val="10"/>
      <name val="Arial"/>
      <family val="2"/>
    </font>
    <font>
      <sz val="12"/>
      <name val="Arial "/>
    </font>
    <font>
      <sz val="11"/>
      <color theme="1"/>
      <name val="Calibri"/>
      <family val="2"/>
      <scheme val="minor"/>
    </font>
    <font>
      <b/>
      <sz val="10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sz val="14"/>
      <name val="Arial"/>
      <family val="2"/>
    </font>
    <font>
      <b/>
      <sz val="12"/>
      <name val="Calibri"/>
      <family val="2"/>
    </font>
    <font>
      <i/>
      <sz val="12"/>
      <name val="Arial"/>
      <family val="2"/>
    </font>
    <font>
      <vertAlign val="superscript"/>
      <sz val="12"/>
      <name val="Calibri"/>
      <family val="2"/>
    </font>
    <font>
      <sz val="12"/>
      <name val="Calibri"/>
      <family val="2"/>
    </font>
    <font>
      <b/>
      <i/>
      <sz val="12"/>
      <name val="Arial"/>
      <family val="2"/>
    </font>
    <font>
      <b/>
      <sz val="12"/>
      <color indexed="10"/>
      <name val="Arial"/>
      <family val="2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vertAlign val="superscript"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i/>
      <sz val="1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Arial "/>
    </font>
    <font>
      <sz val="11"/>
      <name val="Arial "/>
    </font>
    <font>
      <b/>
      <sz val="12"/>
      <name val="Arial "/>
    </font>
    <font>
      <b/>
      <i/>
      <sz val="12"/>
      <name val="Arial "/>
    </font>
    <font>
      <b/>
      <sz val="14"/>
      <name val="Arial "/>
    </font>
    <font>
      <i/>
      <sz val="12"/>
      <name val="Arial "/>
    </font>
    <font>
      <vertAlign val="superscript"/>
      <sz val="12"/>
      <name val="Arial "/>
    </font>
    <font>
      <sz val="10"/>
      <name val="Arial"/>
      <family val="2"/>
    </font>
    <font>
      <b/>
      <sz val="12"/>
      <color rgb="FF00B050"/>
      <name val="Arial"/>
      <family val="2"/>
    </font>
    <font>
      <b/>
      <i/>
      <sz val="11"/>
      <color rgb="FF92D050"/>
      <name val="Calibri"/>
      <family val="2"/>
      <scheme val="minor"/>
    </font>
    <font>
      <b/>
      <sz val="14"/>
      <name val="Calibri"/>
      <family val="2"/>
      <scheme val="minor"/>
    </font>
    <font>
      <b/>
      <sz val="10"/>
      <name val="Calibri"/>
      <family val="2"/>
    </font>
    <font>
      <b/>
      <sz val="11"/>
      <name val="Arial"/>
      <family val="2"/>
    </font>
    <font>
      <b/>
      <i/>
      <sz val="12"/>
      <color rgb="FF00B050"/>
      <name val="Arial "/>
    </font>
    <font>
      <b/>
      <sz val="12"/>
      <color theme="1"/>
      <name val="Calibri"/>
      <family val="2"/>
    </font>
    <font>
      <sz val="8"/>
      <name val="Calibri"/>
      <family val="2"/>
      <scheme val="minor"/>
    </font>
    <font>
      <sz val="11"/>
      <name val="Arial"/>
      <family val="2"/>
    </font>
    <font>
      <sz val="10"/>
      <color rgb="FF000000"/>
      <name val="Times New Roman"/>
      <family val="1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14"/>
      <name val="Arial"/>
      <family val="2"/>
    </font>
    <font>
      <sz val="12"/>
      <color theme="0"/>
      <name val="Arial"/>
      <family val="2"/>
    </font>
    <font>
      <sz val="14"/>
      <name val="Arial "/>
    </font>
    <font>
      <b/>
      <u/>
      <sz val="14"/>
      <name val="Arial "/>
    </font>
    <font>
      <b/>
      <sz val="11"/>
      <name val="Comic Sans MS"/>
      <family val="4"/>
    </font>
    <font>
      <sz val="10"/>
      <color rgb="FF000000"/>
      <name val="Arial"/>
      <family val="2"/>
    </font>
    <font>
      <sz val="12"/>
      <color rgb="FF000000"/>
      <name val="Times New Roman"/>
      <family val="1"/>
    </font>
    <font>
      <b/>
      <sz val="14"/>
      <color rgb="FF000000"/>
      <name val="Arial"/>
      <family val="2"/>
    </font>
    <font>
      <b/>
      <sz val="11"/>
      <color rgb="FF000000"/>
      <name val="Arial"/>
      <family val="2"/>
    </font>
    <font>
      <sz val="14"/>
      <color theme="1"/>
      <name val="Calibri"/>
      <family val="2"/>
      <scheme val="minor"/>
    </font>
    <font>
      <b/>
      <sz val="8"/>
      <color rgb="FF92D050"/>
      <name val="Arial"/>
      <family val="2"/>
    </font>
    <font>
      <sz val="11"/>
      <color rgb="FF000000"/>
      <name val="Arial"/>
      <family val="2"/>
    </font>
    <font>
      <sz val="9"/>
      <color rgb="FF000000"/>
      <name val="Arial"/>
      <family val="2"/>
    </font>
    <font>
      <sz val="9"/>
      <name val="Arial"/>
      <family val="2"/>
    </font>
    <font>
      <b/>
      <sz val="10"/>
      <color rgb="FF000000"/>
      <name val="Arial"/>
      <family val="2"/>
    </font>
    <font>
      <vertAlign val="superscript"/>
      <sz val="6"/>
      <name val="Arial"/>
      <family val="2"/>
    </font>
    <font>
      <b/>
      <sz val="9"/>
      <name val="Arial"/>
      <family val="2"/>
    </font>
    <font>
      <b/>
      <sz val="9"/>
      <color rgb="FF000000"/>
      <name val="Arial"/>
      <family val="2"/>
    </font>
    <font>
      <b/>
      <sz val="11"/>
      <color theme="0"/>
      <name val="Corbel"/>
      <family val="2"/>
    </font>
    <font>
      <b/>
      <vertAlign val="superscript"/>
      <sz val="11"/>
      <color theme="0"/>
      <name val="Corbel"/>
      <family val="2"/>
    </font>
  </fonts>
  <fills count="1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3" tint="0.59999389629810485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medium">
        <color indexed="64"/>
      </top>
      <bottom style="thin">
        <color rgb="FF000000"/>
      </bottom>
      <diagonal/>
    </border>
  </borders>
  <cellStyleXfs count="15">
    <xf numFmtId="0" fontId="0" fillId="0" borderId="0"/>
    <xf numFmtId="0" fontId="1" fillId="0" borderId="0"/>
    <xf numFmtId="43" fontId="3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3" fillId="0" borderId="0"/>
    <xf numFmtId="167" fontId="1" fillId="0" borderId="0" applyFont="0" applyFill="0" applyBorder="0" applyAlignment="0" applyProtection="0"/>
    <xf numFmtId="0" fontId="27" fillId="0" borderId="0"/>
    <xf numFmtId="9" fontId="27" fillId="0" borderId="0" applyFont="0" applyFill="0" applyBorder="0" applyAlignment="0" applyProtection="0"/>
    <xf numFmtId="43" fontId="3" fillId="0" borderId="0" applyFont="0" applyFill="0" applyBorder="0" applyAlignment="0" applyProtection="0"/>
    <xf numFmtId="0" fontId="1" fillId="0" borderId="0"/>
    <xf numFmtId="0" fontId="34" fillId="0" borderId="0"/>
    <xf numFmtId="43" fontId="34" fillId="0" borderId="0" applyFont="0" applyFill="0" applyBorder="0" applyAlignment="0" applyProtection="0"/>
    <xf numFmtId="0" fontId="37" fillId="0" borderId="0"/>
    <xf numFmtId="43" fontId="37" fillId="0" borderId="0" applyFont="0" applyFill="0" applyBorder="0" applyAlignment="0" applyProtection="0"/>
    <xf numFmtId="43" fontId="3" fillId="0" borderId="0" applyFont="0" applyFill="0" applyBorder="0" applyAlignment="0" applyProtection="0"/>
  </cellStyleXfs>
  <cellXfs count="567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0" borderId="0" xfId="0" applyFont="1" applyAlignment="1">
      <alignment horizontal="center"/>
    </xf>
    <xf numFmtId="0" fontId="1" fillId="0" borderId="0" xfId="0" applyFont="1"/>
    <xf numFmtId="2" fontId="1" fillId="0" borderId="0" xfId="0" applyNumberFormat="1" applyFont="1" applyAlignment="1">
      <alignment horizontal="center"/>
    </xf>
    <xf numFmtId="0" fontId="6" fillId="0" borderId="12" xfId="0" applyFont="1" applyBorder="1" applyAlignment="1">
      <alignment horizontal="center" vertical="center"/>
    </xf>
    <xf numFmtId="0" fontId="7" fillId="0" borderId="15" xfId="0" applyFont="1" applyBorder="1" applyAlignment="1">
      <alignment horizontal="center"/>
    </xf>
    <xf numFmtId="2" fontId="7" fillId="0" borderId="15" xfId="0" applyNumberFormat="1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1" fillId="0" borderId="0" xfId="0" applyFont="1" applyAlignment="1">
      <alignment vertical="center"/>
    </xf>
    <xf numFmtId="0" fontId="6" fillId="0" borderId="16" xfId="0" applyFont="1" applyBorder="1"/>
    <xf numFmtId="0" fontId="5" fillId="0" borderId="18" xfId="0" applyFont="1" applyBorder="1" applyAlignment="1">
      <alignment horizontal="center"/>
    </xf>
    <xf numFmtId="2" fontId="5" fillId="0" borderId="12" xfId="0" applyNumberFormat="1" applyFont="1" applyBorder="1" applyAlignment="1">
      <alignment horizontal="center"/>
    </xf>
    <xf numFmtId="0" fontId="6" fillId="0" borderId="16" xfId="0" applyFont="1" applyBorder="1" applyAlignment="1">
      <alignment horizontal="left"/>
    </xf>
    <xf numFmtId="0" fontId="5" fillId="0" borderId="16" xfId="0" applyFont="1" applyBorder="1" applyAlignment="1">
      <alignment horizontal="left"/>
    </xf>
    <xf numFmtId="0" fontId="5" fillId="0" borderId="16" xfId="0" applyFont="1" applyBorder="1"/>
    <xf numFmtId="2" fontId="5" fillId="0" borderId="18" xfId="0" applyNumberFormat="1" applyFont="1" applyBorder="1" applyAlignment="1">
      <alignment horizontal="center"/>
    </xf>
    <xf numFmtId="0" fontId="5" fillId="0" borderId="10" xfId="0" applyFont="1" applyBorder="1"/>
    <xf numFmtId="0" fontId="6" fillId="0" borderId="10" xfId="0" applyFont="1" applyBorder="1" applyAlignment="1">
      <alignment horizontal="center"/>
    </xf>
    <xf numFmtId="2" fontId="6" fillId="0" borderId="10" xfId="0" applyNumberFormat="1" applyFont="1" applyBorder="1" applyAlignment="1">
      <alignment horizontal="center"/>
    </xf>
    <xf numFmtId="0" fontId="6" fillId="0" borderId="16" xfId="0" quotePrefix="1" applyFont="1" applyBorder="1"/>
    <xf numFmtId="0" fontId="6" fillId="0" borderId="18" xfId="0" applyFont="1" applyBorder="1" applyAlignment="1">
      <alignment horizontal="center"/>
    </xf>
    <xf numFmtId="2" fontId="6" fillId="0" borderId="18" xfId="0" applyNumberFormat="1" applyFont="1" applyBorder="1" applyAlignment="1">
      <alignment horizontal="center"/>
    </xf>
    <xf numFmtId="0" fontId="5" fillId="0" borderId="12" xfId="0" applyFont="1" applyBorder="1" applyAlignment="1">
      <alignment horizontal="left"/>
    </xf>
    <xf numFmtId="0" fontId="5" fillId="0" borderId="12" xfId="0" applyFont="1" applyBorder="1" applyAlignment="1">
      <alignment horizontal="center"/>
    </xf>
    <xf numFmtId="0" fontId="6" fillId="0" borderId="18" xfId="0" applyFont="1" applyBorder="1" applyAlignment="1">
      <alignment horizontal="left"/>
    </xf>
    <xf numFmtId="0" fontId="9" fillId="0" borderId="0" xfId="0" applyFont="1"/>
    <xf numFmtId="0" fontId="5" fillId="0" borderId="18" xfId="0" applyFont="1" applyBorder="1" applyAlignment="1">
      <alignment horizontal="left"/>
    </xf>
    <xf numFmtId="0" fontId="5" fillId="0" borderId="0" xfId="0" applyFont="1"/>
    <xf numFmtId="0" fontId="4" fillId="0" borderId="0" xfId="0" applyFont="1"/>
    <xf numFmtId="0" fontId="5" fillId="6" borderId="0" xfId="0" applyFont="1" applyFill="1"/>
    <xf numFmtId="0" fontId="5" fillId="6" borderId="18" xfId="0" applyFont="1" applyFill="1" applyBorder="1" applyAlignment="1">
      <alignment horizontal="center"/>
    </xf>
    <xf numFmtId="2" fontId="5" fillId="6" borderId="18" xfId="0" applyNumberFormat="1" applyFont="1" applyFill="1" applyBorder="1" applyAlignment="1">
      <alignment horizontal="center"/>
    </xf>
    <xf numFmtId="0" fontId="5" fillId="6" borderId="0" xfId="0" applyFont="1" applyFill="1" applyAlignment="1">
      <alignment wrapText="1"/>
    </xf>
    <xf numFmtId="0" fontId="5" fillId="0" borderId="20" xfId="0" applyFont="1" applyBorder="1" applyAlignment="1">
      <alignment horizontal="left"/>
    </xf>
    <xf numFmtId="0" fontId="5" fillId="0" borderId="20" xfId="0" applyFont="1" applyBorder="1" applyAlignment="1">
      <alignment horizontal="center"/>
    </xf>
    <xf numFmtId="0" fontId="5" fillId="6" borderId="12" xfId="0" applyFont="1" applyFill="1" applyBorder="1" applyAlignment="1">
      <alignment horizontal="left"/>
    </xf>
    <xf numFmtId="0" fontId="6" fillId="6" borderId="19" xfId="0" applyFont="1" applyFill="1" applyBorder="1"/>
    <xf numFmtId="0" fontId="5" fillId="6" borderId="12" xfId="0" applyFont="1" applyFill="1" applyBorder="1" applyAlignment="1">
      <alignment horizontal="center"/>
    </xf>
    <xf numFmtId="0" fontId="1" fillId="6" borderId="0" xfId="0" applyFont="1" applyFill="1"/>
    <xf numFmtId="0" fontId="6" fillId="0" borderId="12" xfId="0" applyFont="1" applyBorder="1" applyAlignment="1">
      <alignment horizontal="left"/>
    </xf>
    <xf numFmtId="0" fontId="6" fillId="0" borderId="0" xfId="0" applyFont="1"/>
    <xf numFmtId="0" fontId="6" fillId="0" borderId="18" xfId="0" applyFont="1" applyBorder="1"/>
    <xf numFmtId="0" fontId="5" fillId="0" borderId="20" xfId="0" applyFont="1" applyBorder="1"/>
    <xf numFmtId="0" fontId="1" fillId="0" borderId="12" xfId="0" applyFont="1" applyBorder="1" applyAlignment="1">
      <alignment horizontal="center"/>
    </xf>
    <xf numFmtId="2" fontId="1" fillId="0" borderId="18" xfId="0" applyNumberFormat="1" applyFont="1" applyBorder="1" applyAlignment="1">
      <alignment horizontal="center"/>
    </xf>
    <xf numFmtId="0" fontId="6" fillId="0" borderId="16" xfId="0" applyFont="1" applyBorder="1" applyAlignment="1">
      <alignment wrapText="1"/>
    </xf>
    <xf numFmtId="0" fontId="5" fillId="0" borderId="16" xfId="0" applyFont="1" applyBorder="1" applyAlignment="1">
      <alignment wrapText="1"/>
    </xf>
    <xf numFmtId="0" fontId="1" fillId="0" borderId="18" xfId="0" applyFont="1" applyBorder="1"/>
    <xf numFmtId="165" fontId="5" fillId="0" borderId="18" xfId="0" applyNumberFormat="1" applyFont="1" applyBorder="1" applyAlignment="1">
      <alignment horizontal="center"/>
    </xf>
    <xf numFmtId="0" fontId="5" fillId="0" borderId="0" xfId="0" applyFont="1" applyAlignment="1">
      <alignment wrapText="1"/>
    </xf>
    <xf numFmtId="0" fontId="5" fillId="7" borderId="10" xfId="0" applyFont="1" applyFill="1" applyBorder="1"/>
    <xf numFmtId="0" fontId="6" fillId="7" borderId="13" xfId="0" applyFont="1" applyFill="1" applyBorder="1" applyAlignment="1">
      <alignment horizontal="right"/>
    </xf>
    <xf numFmtId="0" fontId="6" fillId="7" borderId="10" xfId="0" applyFont="1" applyFill="1" applyBorder="1" applyAlignment="1">
      <alignment horizontal="center"/>
    </xf>
    <xf numFmtId="2" fontId="6" fillId="7" borderId="10" xfId="0" applyNumberFormat="1" applyFont="1" applyFill="1" applyBorder="1" applyAlignment="1">
      <alignment horizontal="center"/>
    </xf>
    <xf numFmtId="0" fontId="6" fillId="7" borderId="10" xfId="0" applyFont="1" applyFill="1" applyBorder="1" applyAlignment="1">
      <alignment horizontal="left"/>
    </xf>
    <xf numFmtId="0" fontId="5" fillId="7" borderId="10" xfId="0" applyFont="1" applyFill="1" applyBorder="1" applyAlignment="1">
      <alignment horizontal="center"/>
    </xf>
    <xf numFmtId="2" fontId="5" fillId="7" borderId="10" xfId="0" applyNumberFormat="1" applyFont="1" applyFill="1" applyBorder="1" applyAlignment="1">
      <alignment horizontal="center"/>
    </xf>
    <xf numFmtId="0" fontId="5" fillId="9" borderId="13" xfId="0" applyFont="1" applyFill="1" applyBorder="1"/>
    <xf numFmtId="0" fontId="6" fillId="9" borderId="14" xfId="0" applyFont="1" applyFill="1" applyBorder="1"/>
    <xf numFmtId="0" fontId="5" fillId="9" borderId="14" xfId="0" applyFont="1" applyFill="1" applyBorder="1" applyAlignment="1">
      <alignment horizontal="center"/>
    </xf>
    <xf numFmtId="2" fontId="6" fillId="9" borderId="14" xfId="0" applyNumberFormat="1" applyFont="1" applyFill="1" applyBorder="1" applyAlignment="1">
      <alignment horizontal="center"/>
    </xf>
    <xf numFmtId="0" fontId="6" fillId="9" borderId="14" xfId="0" applyFont="1" applyFill="1" applyBorder="1" applyAlignment="1">
      <alignment horizontal="center"/>
    </xf>
    <xf numFmtId="2" fontId="6" fillId="0" borderId="12" xfId="0" applyNumberFormat="1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0" fontId="6" fillId="0" borderId="12" xfId="0" applyFont="1" applyBorder="1" applyAlignment="1">
      <alignment vertical="center"/>
    </xf>
    <xf numFmtId="0" fontId="6" fillId="4" borderId="16" xfId="0" applyFont="1" applyFill="1" applyBorder="1" applyAlignment="1">
      <alignment horizontal="left"/>
    </xf>
    <xf numFmtId="0" fontId="6" fillId="4" borderId="16" xfId="0" applyFont="1" applyFill="1" applyBorder="1"/>
    <xf numFmtId="0" fontId="5" fillId="4" borderId="18" xfId="0" applyFont="1" applyFill="1" applyBorder="1" applyAlignment="1">
      <alignment horizontal="center"/>
    </xf>
    <xf numFmtId="2" fontId="5" fillId="4" borderId="18" xfId="0" applyNumberFormat="1" applyFont="1" applyFill="1" applyBorder="1" applyAlignment="1">
      <alignment horizontal="center"/>
    </xf>
    <xf numFmtId="0" fontId="1" fillId="0" borderId="12" xfId="0" applyFont="1" applyBorder="1"/>
    <xf numFmtId="0" fontId="6" fillId="4" borderId="16" xfId="0" quotePrefix="1" applyFont="1" applyFill="1" applyBorder="1"/>
    <xf numFmtId="0" fontId="6" fillId="4" borderId="18" xfId="0" applyFont="1" applyFill="1" applyBorder="1" applyAlignment="1">
      <alignment horizontal="center"/>
    </xf>
    <xf numFmtId="2" fontId="6" fillId="4" borderId="18" xfId="0" applyNumberFormat="1" applyFont="1" applyFill="1" applyBorder="1" applyAlignment="1">
      <alignment horizontal="center"/>
    </xf>
    <xf numFmtId="0" fontId="5" fillId="10" borderId="10" xfId="0" applyFont="1" applyFill="1" applyBorder="1"/>
    <xf numFmtId="0" fontId="6" fillId="10" borderId="13" xfId="0" applyFont="1" applyFill="1" applyBorder="1" applyAlignment="1">
      <alignment horizontal="right"/>
    </xf>
    <xf numFmtId="0" fontId="5" fillId="10" borderId="10" xfId="0" applyFont="1" applyFill="1" applyBorder="1" applyAlignment="1">
      <alignment horizontal="center"/>
    </xf>
    <xf numFmtId="2" fontId="6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center"/>
    </xf>
    <xf numFmtId="2" fontId="5" fillId="10" borderId="10" xfId="0" applyNumberFormat="1" applyFont="1" applyFill="1" applyBorder="1" applyAlignment="1">
      <alignment horizontal="center"/>
    </xf>
    <xf numFmtId="0" fontId="6" fillId="10" borderId="10" xfId="0" applyFont="1" applyFill="1" applyBorder="1" applyAlignment="1">
      <alignment horizontal="left"/>
    </xf>
    <xf numFmtId="0" fontId="6" fillId="10" borderId="14" xfId="0" applyFont="1" applyFill="1" applyBorder="1" applyAlignment="1">
      <alignment horizontal="right"/>
    </xf>
    <xf numFmtId="0" fontId="12" fillId="0" borderId="0" xfId="0" applyFont="1"/>
    <xf numFmtId="0" fontId="6" fillId="0" borderId="19" xfId="0" applyFont="1" applyBorder="1"/>
    <xf numFmtId="49" fontId="5" fillId="0" borderId="0" xfId="0" applyNumberFormat="1" applyFont="1"/>
    <xf numFmtId="0" fontId="5" fillId="6" borderId="18" xfId="0" applyFont="1" applyFill="1" applyBorder="1" applyAlignment="1">
      <alignment horizontal="left"/>
    </xf>
    <xf numFmtId="0" fontId="6" fillId="11" borderId="18" xfId="0" applyFont="1" applyFill="1" applyBorder="1" applyAlignment="1">
      <alignment horizontal="left"/>
    </xf>
    <xf numFmtId="0" fontId="5" fillId="11" borderId="18" xfId="0" applyFont="1" applyFill="1" applyBorder="1" applyAlignment="1">
      <alignment horizontal="center"/>
    </xf>
    <xf numFmtId="2" fontId="5" fillId="11" borderId="18" xfId="0" applyNumberFormat="1" applyFont="1" applyFill="1" applyBorder="1" applyAlignment="1">
      <alignment horizontal="center"/>
    </xf>
    <xf numFmtId="0" fontId="6" fillId="11" borderId="18" xfId="0" applyFont="1" applyFill="1" applyBorder="1"/>
    <xf numFmtId="0" fontId="4" fillId="0" borderId="13" xfId="0" applyFont="1" applyBorder="1" applyAlignment="1">
      <alignment horizontal="right"/>
    </xf>
    <xf numFmtId="0" fontId="6" fillId="11" borderId="0" xfId="0" applyFont="1" applyFill="1"/>
    <xf numFmtId="0" fontId="6" fillId="11" borderId="16" xfId="0" applyFont="1" applyFill="1" applyBorder="1" applyAlignment="1">
      <alignment horizontal="left"/>
    </xf>
    <xf numFmtId="0" fontId="6" fillId="11" borderId="16" xfId="0" applyFont="1" applyFill="1" applyBorder="1" applyAlignment="1">
      <alignment wrapText="1"/>
    </xf>
    <xf numFmtId="0" fontId="6" fillId="11" borderId="18" xfId="0" applyFont="1" applyFill="1" applyBorder="1" applyAlignment="1">
      <alignment horizontal="center"/>
    </xf>
    <xf numFmtId="2" fontId="6" fillId="11" borderId="18" xfId="0" applyNumberFormat="1" applyFont="1" applyFill="1" applyBorder="1" applyAlignment="1">
      <alignment horizontal="center"/>
    </xf>
    <xf numFmtId="0" fontId="6" fillId="11" borderId="16" xfId="0" applyFont="1" applyFill="1" applyBorder="1"/>
    <xf numFmtId="0" fontId="6" fillId="6" borderId="16" xfId="0" applyFont="1" applyFill="1" applyBorder="1" applyAlignment="1">
      <alignment horizontal="left"/>
    </xf>
    <xf numFmtId="0" fontId="6" fillId="6" borderId="16" xfId="0" applyFont="1" applyFill="1" applyBorder="1"/>
    <xf numFmtId="0" fontId="5" fillId="6" borderId="16" xfId="0" applyFont="1" applyFill="1" applyBorder="1" applyAlignment="1">
      <alignment horizontal="left"/>
    </xf>
    <xf numFmtId="0" fontId="5" fillId="6" borderId="16" xfId="0" applyFont="1" applyFill="1" applyBorder="1"/>
    <xf numFmtId="49" fontId="13" fillId="0" borderId="0" xfId="0" applyNumberFormat="1" applyFont="1" applyAlignment="1">
      <alignment horizontal="left" vertical="top"/>
    </xf>
    <xf numFmtId="0" fontId="13" fillId="0" borderId="0" xfId="0" applyFont="1"/>
    <xf numFmtId="4" fontId="13" fillId="0" borderId="0" xfId="0" applyNumberFormat="1" applyFont="1"/>
    <xf numFmtId="49" fontId="13" fillId="0" borderId="0" xfId="0" applyNumberFormat="1" applyFont="1" applyAlignment="1">
      <alignment horizontal="center" vertical="center"/>
    </xf>
    <xf numFmtId="49" fontId="5" fillId="0" borderId="24" xfId="0" applyNumberFormat="1" applyFont="1" applyBorder="1" applyAlignment="1">
      <alignment horizontal="center" vertical="center"/>
    </xf>
    <xf numFmtId="0" fontId="6" fillId="5" borderId="24" xfId="0" applyFont="1" applyFill="1" applyBorder="1" applyAlignment="1">
      <alignment horizontal="center" vertical="center" wrapText="1"/>
    </xf>
    <xf numFmtId="3" fontId="6" fillId="5" borderId="25" xfId="0" applyNumberFormat="1" applyFont="1" applyFill="1" applyBorder="1" applyAlignment="1">
      <alignment horizontal="center" vertical="center"/>
    </xf>
    <xf numFmtId="3" fontId="5" fillId="0" borderId="25" xfId="0" applyNumberFormat="1" applyFont="1" applyBorder="1" applyAlignment="1">
      <alignment horizontal="center" vertical="center"/>
    </xf>
    <xf numFmtId="0" fontId="6" fillId="0" borderId="24" xfId="0" applyFont="1" applyBorder="1" applyAlignment="1">
      <alignment horizontal="center" vertical="center" wrapText="1"/>
    </xf>
    <xf numFmtId="49" fontId="15" fillId="0" borderId="0" xfId="0" applyNumberFormat="1" applyFont="1" applyAlignment="1">
      <alignment horizontal="left" vertical="top"/>
    </xf>
    <xf numFmtId="0" fontId="15" fillId="0" borderId="0" xfId="0" applyFont="1"/>
    <xf numFmtId="4" fontId="15" fillId="0" borderId="0" xfId="0" applyNumberFormat="1" applyFont="1"/>
    <xf numFmtId="0" fontId="14" fillId="2" borderId="5" xfId="0" applyFont="1" applyFill="1" applyBorder="1" applyAlignment="1">
      <alignment horizontal="center" vertical="center" wrapText="1"/>
    </xf>
    <xf numFmtId="49" fontId="14" fillId="2" borderId="9" xfId="0" applyNumberFormat="1" applyFont="1" applyFill="1" applyBorder="1" applyAlignment="1">
      <alignment horizontal="center" vertical="center" wrapText="1"/>
    </xf>
    <xf numFmtId="0" fontId="14" fillId="2" borderId="6" xfId="0" applyFont="1" applyFill="1" applyBorder="1" applyAlignment="1">
      <alignment horizontal="center" vertical="center" wrapText="1"/>
    </xf>
    <xf numFmtId="4" fontId="14" fillId="2" borderId="6" xfId="0" applyNumberFormat="1" applyFont="1" applyFill="1" applyBorder="1" applyAlignment="1">
      <alignment horizontal="center" vertical="center" wrapText="1"/>
    </xf>
    <xf numFmtId="49" fontId="15" fillId="0" borderId="2" xfId="0" applyNumberFormat="1" applyFont="1" applyBorder="1" applyAlignment="1">
      <alignment horizontal="left" vertical="top"/>
    </xf>
    <xf numFmtId="49" fontId="15" fillId="0" borderId="1" xfId="0" applyNumberFormat="1" applyFont="1" applyBorder="1" applyAlignment="1">
      <alignment horizontal="center" vertical="top"/>
    </xf>
    <xf numFmtId="3" fontId="15" fillId="0" borderId="1" xfId="0" applyNumberFormat="1" applyFont="1" applyBorder="1" applyAlignment="1">
      <alignment horizontal="right"/>
    </xf>
    <xf numFmtId="4" fontId="15" fillId="0" borderId="1" xfId="0" applyNumberFormat="1" applyFont="1" applyBorder="1" applyAlignment="1">
      <alignment horizontal="right"/>
    </xf>
    <xf numFmtId="0" fontId="14" fillId="4" borderId="2" xfId="0" applyFont="1" applyFill="1" applyBorder="1" applyAlignment="1">
      <alignment horizontal="center"/>
    </xf>
    <xf numFmtId="0" fontId="14" fillId="4" borderId="1" xfId="0" applyFont="1" applyFill="1" applyBorder="1" applyAlignment="1">
      <alignment horizontal="left"/>
    </xf>
    <xf numFmtId="3" fontId="15" fillId="4" borderId="1" xfId="0" applyNumberFormat="1" applyFont="1" applyFill="1" applyBorder="1" applyAlignment="1">
      <alignment horizontal="right"/>
    </xf>
    <xf numFmtId="4" fontId="15" fillId="4" borderId="1" xfId="0" applyNumberFormat="1" applyFont="1" applyFill="1" applyBorder="1" applyAlignment="1">
      <alignment horizontal="right"/>
    </xf>
    <xf numFmtId="0" fontId="15" fillId="6" borderId="2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left"/>
    </xf>
    <xf numFmtId="0" fontId="15" fillId="6" borderId="1" xfId="0" applyFont="1" applyFill="1" applyBorder="1" applyAlignment="1">
      <alignment horizontal="center"/>
    </xf>
    <xf numFmtId="4" fontId="15" fillId="6" borderId="1" xfId="0" applyNumberFormat="1" applyFont="1" applyFill="1" applyBorder="1"/>
    <xf numFmtId="3" fontId="15" fillId="6" borderId="1" xfId="0" applyNumberFormat="1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right" vertical="top" wrapText="1"/>
    </xf>
    <xf numFmtId="3" fontId="15" fillId="5" borderId="1" xfId="0" applyNumberFormat="1" applyFont="1" applyFill="1" applyBorder="1" applyAlignment="1">
      <alignment horizontal="right"/>
    </xf>
    <xf numFmtId="4" fontId="15" fillId="5" borderId="1" xfId="0" applyNumberFormat="1" applyFont="1" applyFill="1" applyBorder="1" applyAlignment="1">
      <alignment horizontal="center" vertical="center"/>
    </xf>
    <xf numFmtId="3" fontId="14" fillId="5" borderId="1" xfId="0" applyNumberFormat="1" applyFont="1" applyFill="1" applyBorder="1" applyAlignment="1">
      <alignment horizontal="center" vertical="center"/>
    </xf>
    <xf numFmtId="4" fontId="15" fillId="0" borderId="1" xfId="0" applyNumberFormat="1" applyFont="1" applyBorder="1" applyAlignment="1">
      <alignment horizontal="center" vertical="center"/>
    </xf>
    <xf numFmtId="3" fontId="15" fillId="0" borderId="1" xfId="0" applyNumberFormat="1" applyFont="1" applyBorder="1" applyAlignment="1">
      <alignment horizontal="center" vertical="center"/>
    </xf>
    <xf numFmtId="0" fontId="15" fillId="3" borderId="2" xfId="0" applyFont="1" applyFill="1" applyBorder="1" applyAlignment="1">
      <alignment horizontal="left"/>
    </xf>
    <xf numFmtId="0" fontId="15" fillId="3" borderId="1" xfId="0" applyFont="1" applyFill="1" applyBorder="1" applyAlignment="1">
      <alignment horizontal="left" wrapText="1"/>
    </xf>
    <xf numFmtId="0" fontId="15" fillId="0" borderId="1" xfId="0" applyFont="1" applyBorder="1" applyAlignment="1">
      <alignment horizontal="center" vertical="center" wrapText="1"/>
    </xf>
    <xf numFmtId="4" fontId="15" fillId="0" borderId="1" xfId="0" applyNumberFormat="1" applyFont="1" applyBorder="1" applyAlignment="1">
      <alignment horizontal="right" vertical="center" wrapText="1"/>
    </xf>
    <xf numFmtId="0" fontId="15" fillId="6" borderId="1" xfId="0" applyFont="1" applyFill="1" applyBorder="1" applyAlignment="1">
      <alignment horizontal="left" wrapText="1"/>
    </xf>
    <xf numFmtId="0" fontId="15" fillId="6" borderId="1" xfId="0" applyFont="1" applyFill="1" applyBorder="1" applyAlignment="1">
      <alignment horizontal="center" vertical="center" wrapText="1"/>
    </xf>
    <xf numFmtId="4" fontId="15" fillId="6" borderId="1" xfId="0" applyNumberFormat="1" applyFont="1" applyFill="1" applyBorder="1" applyAlignment="1">
      <alignment horizontal="right"/>
    </xf>
    <xf numFmtId="16" fontId="14" fillId="0" borderId="2" xfId="0" applyNumberFormat="1" applyFont="1" applyBorder="1" applyAlignment="1">
      <alignment horizontal="left" vertical="center"/>
    </xf>
    <xf numFmtId="0" fontId="17" fillId="3" borderId="1" xfId="0" applyFont="1" applyFill="1" applyBorder="1" applyAlignment="1">
      <alignment horizontal="right" vertical="top" wrapText="1"/>
    </xf>
    <xf numFmtId="3" fontId="15" fillId="3" borderId="1" xfId="0" applyNumberFormat="1" applyFont="1" applyFill="1" applyBorder="1" applyAlignment="1">
      <alignment horizontal="right"/>
    </xf>
    <xf numFmtId="4" fontId="15" fillId="3" borderId="1" xfId="0" applyNumberFormat="1" applyFont="1" applyFill="1" applyBorder="1" applyAlignment="1">
      <alignment horizontal="center" vertical="center"/>
    </xf>
    <xf numFmtId="3" fontId="14" fillId="3" borderId="1" xfId="0" applyNumberFormat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top" wrapText="1"/>
    </xf>
    <xf numFmtId="0" fontId="14" fillId="0" borderId="2" xfId="0" applyFont="1" applyBorder="1" applyAlignment="1">
      <alignment horizontal="left"/>
    </xf>
    <xf numFmtId="0" fontId="17" fillId="0" borderId="3" xfId="0" applyFont="1" applyBorder="1"/>
    <xf numFmtId="0" fontId="15" fillId="0" borderId="2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0" fontId="15" fillId="0" borderId="1" xfId="0" applyFont="1" applyBorder="1" applyAlignment="1">
      <alignment horizontal="center"/>
    </xf>
    <xf numFmtId="0" fontId="14" fillId="6" borderId="2" xfId="0" applyFont="1" applyFill="1" applyBorder="1" applyAlignment="1">
      <alignment horizontal="left"/>
    </xf>
    <xf numFmtId="0" fontId="17" fillId="6" borderId="1" xfId="0" applyFont="1" applyFill="1" applyBorder="1" applyAlignment="1">
      <alignment horizontal="left"/>
    </xf>
    <xf numFmtId="0" fontId="15" fillId="6" borderId="3" xfId="0" applyFont="1" applyFill="1" applyBorder="1" applyAlignment="1">
      <alignment horizontal="left"/>
    </xf>
    <xf numFmtId="0" fontId="14" fillId="0" borderId="1" xfId="0" applyFont="1" applyBorder="1" applyAlignment="1">
      <alignment horizontal="left"/>
    </xf>
    <xf numFmtId="0" fontId="17" fillId="0" borderId="1" xfId="0" applyFont="1" applyBorder="1" applyAlignment="1">
      <alignment horizontal="left"/>
    </xf>
    <xf numFmtId="0" fontId="15" fillId="0" borderId="3" xfId="0" applyFont="1" applyBorder="1" applyAlignment="1">
      <alignment horizontal="left"/>
    </xf>
    <xf numFmtId="0" fontId="18" fillId="0" borderId="1" xfId="0" applyFont="1" applyBorder="1" applyAlignment="1">
      <alignment horizontal="left"/>
    </xf>
    <xf numFmtId="2" fontId="15" fillId="0" borderId="1" xfId="0" applyNumberFormat="1" applyFont="1" applyBorder="1" applyAlignment="1">
      <alignment horizontal="center" vertical="center"/>
    </xf>
    <xf numFmtId="16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top" wrapText="1"/>
    </xf>
    <xf numFmtId="4" fontId="15" fillId="0" borderId="1" xfId="0" applyNumberFormat="1" applyFont="1" applyBorder="1"/>
    <xf numFmtId="0" fontId="14" fillId="0" borderId="1" xfId="0" applyFont="1" applyBorder="1" applyAlignment="1">
      <alignment horizontal="center"/>
    </xf>
    <xf numFmtId="4" fontId="14" fillId="0" borderId="1" xfId="0" applyNumberFormat="1" applyFont="1" applyBorder="1" applyAlignment="1">
      <alignment horizontal="right"/>
    </xf>
    <xf numFmtId="49" fontId="15" fillId="6" borderId="2" xfId="0" applyNumberFormat="1" applyFont="1" applyFill="1" applyBorder="1" applyAlignment="1">
      <alignment horizontal="left" vertical="top"/>
    </xf>
    <xf numFmtId="0" fontId="14" fillId="6" borderId="1" xfId="0" applyFont="1" applyFill="1" applyBorder="1" applyAlignment="1">
      <alignment horizontal="right" vertical="top" wrapText="1"/>
    </xf>
    <xf numFmtId="3" fontId="15" fillId="6" borderId="1" xfId="0" applyNumberFormat="1" applyFont="1" applyFill="1" applyBorder="1" applyAlignment="1">
      <alignment horizontal="right"/>
    </xf>
    <xf numFmtId="4" fontId="15" fillId="6" borderId="1" xfId="0" applyNumberFormat="1" applyFont="1" applyFill="1" applyBorder="1" applyAlignment="1">
      <alignment horizontal="center" vertical="center"/>
    </xf>
    <xf numFmtId="0" fontId="15" fillId="0" borderId="2" xfId="0" applyFont="1" applyBorder="1"/>
    <xf numFmtId="4" fontId="15" fillId="0" borderId="1" xfId="0" applyNumberFormat="1" applyFont="1" applyBorder="1" applyAlignment="1">
      <alignment vertical="center" wrapText="1"/>
    </xf>
    <xf numFmtId="0" fontId="15" fillId="0" borderId="3" xfId="0" applyFont="1" applyBorder="1" applyAlignment="1">
      <alignment horizontal="left" wrapText="1"/>
    </xf>
    <xf numFmtId="3" fontId="15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left" vertical="top"/>
    </xf>
    <xf numFmtId="0" fontId="15" fillId="5" borderId="1" xfId="0" applyFont="1" applyFill="1" applyBorder="1" applyAlignment="1">
      <alignment horizontal="center" vertical="center"/>
    </xf>
    <xf numFmtId="49" fontId="14" fillId="0" borderId="3" xfId="0" applyNumberFormat="1" applyFont="1" applyBorder="1" applyAlignment="1">
      <alignment horizontal="center" vertical="top"/>
    </xf>
    <xf numFmtId="49" fontId="15" fillId="0" borderId="2" xfId="0" applyNumberFormat="1" applyFont="1" applyBorder="1" applyAlignment="1">
      <alignment horizontal="center" vertical="top"/>
    </xf>
    <xf numFmtId="0" fontId="14" fillId="5" borderId="1" xfId="0" applyFont="1" applyFill="1" applyBorder="1" applyAlignment="1">
      <alignment vertical="top" wrapText="1"/>
    </xf>
    <xf numFmtId="49" fontId="15" fillId="6" borderId="2" xfId="0" applyNumberFormat="1" applyFont="1" applyFill="1" applyBorder="1" applyAlignment="1">
      <alignment horizontal="center" vertical="top"/>
    </xf>
    <xf numFmtId="0" fontId="14" fillId="6" borderId="1" xfId="0" applyFont="1" applyFill="1" applyBorder="1" applyAlignment="1">
      <alignment vertical="top" wrapText="1"/>
    </xf>
    <xf numFmtId="0" fontId="14" fillId="0" borderId="1" xfId="0" applyFont="1" applyBorder="1"/>
    <xf numFmtId="0" fontId="15" fillId="0" borderId="1" xfId="0" applyFont="1" applyBorder="1"/>
    <xf numFmtId="0" fontId="15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left" wrapText="1"/>
    </xf>
    <xf numFmtId="3" fontId="14" fillId="5" borderId="1" xfId="0" applyNumberFormat="1" applyFont="1" applyFill="1" applyBorder="1" applyAlignment="1">
      <alignment horizontal="center"/>
    </xf>
    <xf numFmtId="0" fontId="19" fillId="0" borderId="0" xfId="0" applyFont="1"/>
    <xf numFmtId="0" fontId="5" fillId="6" borderId="13" xfId="0" applyFont="1" applyFill="1" applyBorder="1"/>
    <xf numFmtId="0" fontId="6" fillId="6" borderId="14" xfId="0" applyFont="1" applyFill="1" applyBorder="1" applyAlignment="1">
      <alignment horizontal="right"/>
    </xf>
    <xf numFmtId="0" fontId="5" fillId="6" borderId="14" xfId="0" applyFont="1" applyFill="1" applyBorder="1" applyAlignment="1">
      <alignment horizontal="center"/>
    </xf>
    <xf numFmtId="2" fontId="6" fillId="6" borderId="14" xfId="0" applyNumberFormat="1" applyFont="1" applyFill="1" applyBorder="1" applyAlignment="1">
      <alignment horizontal="center"/>
    </xf>
    <xf numFmtId="0" fontId="6" fillId="6" borderId="14" xfId="0" applyFont="1" applyFill="1" applyBorder="1" applyAlignment="1">
      <alignment horizontal="center"/>
    </xf>
    <xf numFmtId="10" fontId="28" fillId="9" borderId="14" xfId="3" applyNumberFormat="1" applyFont="1" applyFill="1" applyBorder="1" applyAlignment="1">
      <alignment horizontal="center"/>
    </xf>
    <xf numFmtId="0" fontId="17" fillId="5" borderId="7" xfId="0" applyFont="1" applyFill="1" applyBorder="1" applyAlignment="1">
      <alignment vertical="center" wrapText="1"/>
    </xf>
    <xf numFmtId="10" fontId="29" fillId="5" borderId="4" xfId="0" applyNumberFormat="1" applyFont="1" applyFill="1" applyBorder="1" applyAlignment="1">
      <alignment vertical="center" wrapText="1"/>
    </xf>
    <xf numFmtId="0" fontId="7" fillId="0" borderId="0" xfId="0" applyFont="1"/>
    <xf numFmtId="0" fontId="6" fillId="0" borderId="12" xfId="0" applyFont="1" applyBorder="1" applyAlignment="1" applyProtection="1">
      <alignment horizontal="center" vertical="center" wrapText="1"/>
      <protection locked="0"/>
    </xf>
    <xf numFmtId="3" fontId="5" fillId="4" borderId="18" xfId="0" applyNumberFormat="1" applyFont="1" applyFill="1" applyBorder="1" applyAlignment="1" applyProtection="1">
      <alignment horizontal="center"/>
      <protection locked="0"/>
    </xf>
    <xf numFmtId="3" fontId="5" fillId="6" borderId="18" xfId="0" applyNumberFormat="1" applyFont="1" applyFill="1" applyBorder="1" applyAlignment="1" applyProtection="1">
      <alignment horizontal="center"/>
      <protection locked="0"/>
    </xf>
    <xf numFmtId="3" fontId="5" fillId="0" borderId="18" xfId="0" applyNumberFormat="1" applyFont="1" applyBorder="1" applyAlignment="1" applyProtection="1">
      <alignment horizontal="center"/>
      <protection locked="0"/>
    </xf>
    <xf numFmtId="0" fontId="6" fillId="7" borderId="11" xfId="0" applyFont="1" applyFill="1" applyBorder="1" applyAlignment="1" applyProtection="1">
      <alignment horizontal="center"/>
      <protection locked="0"/>
    </xf>
    <xf numFmtId="3" fontId="6" fillId="0" borderId="12" xfId="0" applyNumberFormat="1" applyFont="1" applyBorder="1" applyAlignment="1" applyProtection="1">
      <alignment horizontal="center"/>
      <protection locked="0"/>
    </xf>
    <xf numFmtId="3" fontId="6" fillId="4" borderId="18" xfId="0" applyNumberFormat="1" applyFont="1" applyFill="1" applyBorder="1" applyAlignment="1" applyProtection="1">
      <alignment horizontal="center"/>
      <protection locked="0"/>
    </xf>
    <xf numFmtId="3" fontId="6" fillId="0" borderId="18" xfId="0" applyNumberFormat="1" applyFont="1" applyBorder="1" applyAlignment="1" applyProtection="1">
      <alignment horizontal="center"/>
      <protection locked="0"/>
    </xf>
    <xf numFmtId="3" fontId="6" fillId="7" borderId="10" xfId="0" applyNumberFormat="1" applyFont="1" applyFill="1" applyBorder="1" applyAlignment="1" applyProtection="1">
      <alignment horizontal="center"/>
      <protection locked="0"/>
    </xf>
    <xf numFmtId="3" fontId="5" fillId="0" borderId="12" xfId="0" applyNumberFormat="1" applyFont="1" applyBorder="1" applyAlignment="1" applyProtection="1">
      <alignment horizontal="center"/>
      <protection locked="0"/>
    </xf>
    <xf numFmtId="3" fontId="6" fillId="0" borderId="10" xfId="0" applyNumberFormat="1" applyFont="1" applyBorder="1" applyAlignment="1" applyProtection="1">
      <alignment horizontal="center"/>
      <protection locked="0"/>
    </xf>
    <xf numFmtId="3" fontId="5" fillId="11" borderId="18" xfId="0" applyNumberFormat="1" applyFont="1" applyFill="1" applyBorder="1" applyAlignment="1" applyProtection="1">
      <alignment horizontal="center"/>
      <protection locked="0"/>
    </xf>
    <xf numFmtId="164" fontId="5" fillId="6" borderId="18" xfId="0" applyNumberFormat="1" applyFont="1" applyFill="1" applyBorder="1" applyAlignment="1" applyProtection="1">
      <alignment horizontal="center"/>
      <protection locked="0"/>
    </xf>
    <xf numFmtId="3" fontId="5" fillId="7" borderId="10" xfId="0" applyNumberFormat="1" applyFont="1" applyFill="1" applyBorder="1" applyAlignment="1" applyProtection="1">
      <alignment horizontal="center"/>
      <protection locked="0"/>
    </xf>
    <xf numFmtId="3" fontId="5" fillId="0" borderId="20" xfId="0" applyNumberFormat="1" applyFont="1" applyBorder="1" applyAlignment="1" applyProtection="1">
      <alignment horizontal="center"/>
      <protection locked="0"/>
    </xf>
    <xf numFmtId="3" fontId="6" fillId="10" borderId="10" xfId="0" applyNumberFormat="1" applyFont="1" applyFill="1" applyBorder="1" applyAlignment="1" applyProtection="1">
      <alignment horizontal="center"/>
      <protection locked="0"/>
    </xf>
    <xf numFmtId="3" fontId="6" fillId="11" borderId="18" xfId="0" applyNumberFormat="1" applyFont="1" applyFill="1" applyBorder="1" applyAlignment="1" applyProtection="1">
      <alignment horizontal="center"/>
      <protection locked="0"/>
    </xf>
    <xf numFmtId="3" fontId="5" fillId="10" borderId="10" xfId="0" applyNumberFormat="1" applyFont="1" applyFill="1" applyBorder="1" applyAlignment="1" applyProtection="1">
      <alignment horizontal="center"/>
      <protection locked="0"/>
    </xf>
    <xf numFmtId="0" fontId="1" fillId="0" borderId="18" xfId="0" applyFont="1" applyBorder="1" applyAlignment="1" applyProtection="1">
      <alignment horizontal="center"/>
      <protection locked="0"/>
    </xf>
    <xf numFmtId="3" fontId="15" fillId="0" borderId="1" xfId="0" applyNumberFormat="1" applyFont="1" applyBorder="1" applyAlignment="1" applyProtection="1">
      <alignment horizontal="right"/>
      <protection locked="0"/>
    </xf>
    <xf numFmtId="3" fontId="15" fillId="4" borderId="1" xfId="0" applyNumberFormat="1" applyFont="1" applyFill="1" applyBorder="1" applyAlignment="1" applyProtection="1">
      <alignment horizontal="right"/>
      <protection locked="0"/>
    </xf>
    <xf numFmtId="3" fontId="15" fillId="6" borderId="1" xfId="0" applyNumberFormat="1" applyFont="1" applyFill="1" applyBorder="1" applyAlignment="1" applyProtection="1">
      <alignment vertical="center" wrapText="1"/>
      <protection locked="0"/>
    </xf>
    <xf numFmtId="3" fontId="15" fillId="5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horizontal="right" vertical="center" wrapText="1"/>
      <protection locked="0"/>
    </xf>
    <xf numFmtId="3" fontId="15" fillId="6" borderId="1" xfId="0" applyNumberFormat="1" applyFont="1" applyFill="1" applyBorder="1" applyAlignment="1" applyProtection="1">
      <alignment horizontal="right" vertical="center" wrapText="1"/>
      <protection locked="0"/>
    </xf>
    <xf numFmtId="3" fontId="15" fillId="3" borderId="1" xfId="0" applyNumberFormat="1" applyFont="1" applyFill="1" applyBorder="1" applyAlignment="1" applyProtection="1">
      <alignment horizontal="center" vertical="center"/>
      <protection locked="0"/>
    </xf>
    <xf numFmtId="2" fontId="15" fillId="0" borderId="1" xfId="0" applyNumberFormat="1" applyFont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Protection="1">
      <protection locked="0"/>
    </xf>
    <xf numFmtId="3" fontId="15" fillId="6" borderId="1" xfId="0" applyNumberFormat="1" applyFont="1" applyFill="1" applyBorder="1" applyAlignment="1" applyProtection="1">
      <alignment horizontal="center" vertical="center"/>
      <protection locked="0"/>
    </xf>
    <xf numFmtId="3" fontId="15" fillId="0" borderId="1" xfId="0" applyNumberFormat="1" applyFont="1" applyBorder="1" applyAlignment="1" applyProtection="1">
      <alignment vertical="center" wrapText="1"/>
      <protection locked="0"/>
    </xf>
    <xf numFmtId="0" fontId="1" fillId="0" borderId="0" xfId="0" applyFont="1" applyAlignment="1">
      <alignment horizontal="center"/>
    </xf>
    <xf numFmtId="49" fontId="15" fillId="0" borderId="3" xfId="0" applyNumberFormat="1" applyFont="1" applyBorder="1" applyAlignment="1">
      <alignment horizontal="center" vertical="top"/>
    </xf>
    <xf numFmtId="0" fontId="0" fillId="0" borderId="0" xfId="0" applyAlignment="1">
      <alignment horizontal="center" vertical="center"/>
    </xf>
    <xf numFmtId="49" fontId="2" fillId="0" borderId="0" xfId="0" applyNumberFormat="1" applyFont="1" applyAlignment="1">
      <alignment horizontal="left" vertical="top"/>
    </xf>
    <xf numFmtId="43" fontId="2" fillId="0" borderId="0" xfId="2" applyFont="1" applyFill="1" applyAlignment="1">
      <alignment horizontal="center"/>
    </xf>
    <xf numFmtId="43" fontId="2" fillId="0" borderId="0" xfId="2" applyFont="1" applyAlignment="1">
      <alignment horizontal="center"/>
    </xf>
    <xf numFmtId="43" fontId="1" fillId="0" borderId="0" xfId="2" applyFont="1" applyAlignment="1">
      <alignment horizontal="center"/>
    </xf>
    <xf numFmtId="43" fontId="4" fillId="0" borderId="15" xfId="2" applyFont="1" applyBorder="1" applyAlignment="1">
      <alignment horizontal="center"/>
    </xf>
    <xf numFmtId="43" fontId="6" fillId="0" borderId="12" xfId="2" applyFont="1" applyBorder="1" applyAlignment="1">
      <alignment horizontal="center" vertical="center"/>
    </xf>
    <xf numFmtId="43" fontId="5" fillId="4" borderId="18" xfId="2" applyFont="1" applyFill="1" applyBorder="1" applyAlignment="1">
      <alignment horizontal="center"/>
    </xf>
    <xf numFmtId="43" fontId="5" fillId="6" borderId="18" xfId="2" applyFont="1" applyFill="1" applyBorder="1" applyAlignment="1">
      <alignment horizontal="center"/>
    </xf>
    <xf numFmtId="43" fontId="5" fillId="0" borderId="18" xfId="2" applyFont="1" applyBorder="1" applyAlignment="1">
      <alignment horizontal="center"/>
    </xf>
    <xf numFmtId="43" fontId="6" fillId="7" borderId="10" xfId="2" applyFont="1" applyFill="1" applyBorder="1" applyAlignment="1">
      <alignment horizontal="center"/>
    </xf>
    <xf numFmtId="43" fontId="6" fillId="0" borderId="10" xfId="2" applyFont="1" applyBorder="1" applyAlignment="1">
      <alignment horizontal="center"/>
    </xf>
    <xf numFmtId="43" fontId="5" fillId="11" borderId="18" xfId="2" applyFont="1" applyFill="1" applyBorder="1" applyAlignment="1">
      <alignment horizontal="center"/>
    </xf>
    <xf numFmtId="0" fontId="6" fillId="6" borderId="0" xfId="0" applyFont="1" applyFill="1"/>
    <xf numFmtId="43" fontId="6" fillId="10" borderId="10" xfId="2" applyFont="1" applyFill="1" applyBorder="1" applyAlignment="1">
      <alignment horizontal="center"/>
    </xf>
    <xf numFmtId="43" fontId="6" fillId="6" borderId="10" xfId="2" applyFont="1" applyFill="1" applyBorder="1" applyAlignment="1">
      <alignment horizontal="center"/>
    </xf>
    <xf numFmtId="2" fontId="6" fillId="9" borderId="10" xfId="2" applyNumberFormat="1" applyFont="1" applyFill="1" applyBorder="1" applyAlignment="1">
      <alignment horizontal="center"/>
    </xf>
    <xf numFmtId="43" fontId="6" fillId="9" borderId="10" xfId="2" applyFont="1" applyFill="1" applyBorder="1" applyAlignment="1">
      <alignment horizontal="center"/>
    </xf>
    <xf numFmtId="0" fontId="5" fillId="6" borderId="0" xfId="0" applyFont="1" applyFill="1" applyAlignment="1">
      <alignment horizontal="center"/>
    </xf>
    <xf numFmtId="2" fontId="6" fillId="6" borderId="0" xfId="0" applyNumberFormat="1" applyFont="1" applyFill="1" applyAlignment="1">
      <alignment horizontal="center"/>
    </xf>
    <xf numFmtId="0" fontId="6" fillId="6" borderId="0" xfId="0" applyFont="1" applyFill="1" applyAlignment="1">
      <alignment horizontal="center"/>
    </xf>
    <xf numFmtId="43" fontId="6" fillId="6" borderId="0" xfId="2" applyFont="1" applyFill="1" applyBorder="1" applyAlignment="1">
      <alignment horizontal="center"/>
    </xf>
    <xf numFmtId="0" fontId="17" fillId="5" borderId="4" xfId="0" applyFont="1" applyFill="1" applyBorder="1" applyAlignment="1">
      <alignment vertical="center" wrapText="1"/>
    </xf>
    <xf numFmtId="49" fontId="5" fillId="0" borderId="16" xfId="0" applyNumberFormat="1" applyFont="1" applyBorder="1" applyAlignment="1">
      <alignment horizontal="center" vertical="center"/>
    </xf>
    <xf numFmtId="0" fontId="5" fillId="0" borderId="23" xfId="0" applyFont="1" applyBorder="1"/>
    <xf numFmtId="49" fontId="6" fillId="0" borderId="13" xfId="0" applyNumberFormat="1" applyFont="1" applyBorder="1" applyAlignment="1">
      <alignment horizontal="center" vertical="center"/>
    </xf>
    <xf numFmtId="3" fontId="6" fillId="5" borderId="10" xfId="0" applyNumberFormat="1" applyFont="1" applyFill="1" applyBorder="1" applyAlignment="1">
      <alignment horizontal="center" vertical="center"/>
    </xf>
    <xf numFmtId="0" fontId="6" fillId="5" borderId="29" xfId="0" applyFont="1" applyFill="1" applyBorder="1" applyAlignment="1">
      <alignment horizontal="center" vertical="center" wrapText="1"/>
    </xf>
    <xf numFmtId="3" fontId="5" fillId="0" borderId="28" xfId="0" applyNumberFormat="1" applyFont="1" applyBorder="1" applyAlignment="1">
      <alignment horizontal="right"/>
    </xf>
    <xf numFmtId="3" fontId="5" fillId="0" borderId="30" xfId="0" applyNumberFormat="1" applyFont="1" applyBorder="1" applyAlignment="1">
      <alignment horizontal="center" vertical="center"/>
    </xf>
    <xf numFmtId="3" fontId="6" fillId="5" borderId="1" xfId="0" applyNumberFormat="1" applyFont="1" applyFill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 wrapText="1"/>
    </xf>
    <xf numFmtId="43" fontId="4" fillId="0" borderId="10" xfId="2" applyFont="1" applyBorder="1" applyAlignment="1">
      <alignment horizontal="center" vertical="center"/>
    </xf>
    <xf numFmtId="0" fontId="6" fillId="0" borderId="13" xfId="0" applyFont="1" applyBorder="1" applyAlignment="1">
      <alignment horizontal="right"/>
    </xf>
    <xf numFmtId="43" fontId="6" fillId="0" borderId="10" xfId="2" applyFont="1" applyFill="1" applyBorder="1" applyAlignment="1">
      <alignment horizontal="center"/>
    </xf>
    <xf numFmtId="0" fontId="21" fillId="0" borderId="0" xfId="0" applyFont="1"/>
    <xf numFmtId="49" fontId="2" fillId="0" borderId="3" xfId="0" applyNumberFormat="1" applyFont="1" applyBorder="1" applyAlignment="1">
      <alignment horizontal="center" vertical="top"/>
    </xf>
    <xf numFmtId="3" fontId="2" fillId="0" borderId="1" xfId="0" applyNumberFormat="1" applyFont="1" applyBorder="1" applyAlignment="1">
      <alignment horizontal="right"/>
    </xf>
    <xf numFmtId="3" fontId="2" fillId="0" borderId="1" xfId="0" applyNumberFormat="1" applyFont="1" applyBorder="1" applyAlignment="1">
      <alignment horizontal="center"/>
    </xf>
    <xf numFmtId="0" fontId="22" fillId="4" borderId="3" xfId="0" applyFont="1" applyFill="1" applyBorder="1" applyAlignment="1">
      <alignment horizontal="left"/>
    </xf>
    <xf numFmtId="3" fontId="2" fillId="4" borderId="1" xfId="0" applyNumberFormat="1" applyFont="1" applyFill="1" applyBorder="1" applyAlignment="1">
      <alignment horizontal="right"/>
    </xf>
    <xf numFmtId="3" fontId="2" fillId="4" borderId="1" xfId="0" applyNumberFormat="1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3" fontId="2" fillId="0" borderId="1" xfId="0" applyNumberFormat="1" applyFont="1" applyBorder="1" applyAlignment="1">
      <alignment horizontal="center" vertical="center"/>
    </xf>
    <xf numFmtId="3" fontId="2" fillId="5" borderId="1" xfId="0" applyNumberFormat="1" applyFont="1" applyFill="1" applyBorder="1" applyAlignment="1">
      <alignment horizontal="right"/>
    </xf>
    <xf numFmtId="3" fontId="2" fillId="5" borderId="1" xfId="0" applyNumberFormat="1" applyFont="1" applyFill="1" applyBorder="1" applyAlignment="1">
      <alignment horizontal="center" vertical="center"/>
    </xf>
    <xf numFmtId="3" fontId="24" fillId="5" borderId="1" xfId="0" applyNumberFormat="1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49" fontId="2" fillId="0" borderId="2" xfId="0" applyNumberFormat="1" applyFont="1" applyBorder="1" applyAlignment="1">
      <alignment horizontal="center" vertical="center"/>
    </xf>
    <xf numFmtId="3" fontId="24" fillId="9" borderId="1" xfId="0" applyNumberFormat="1" applyFont="1" applyFill="1" applyBorder="1" applyAlignment="1">
      <alignment horizontal="center"/>
    </xf>
    <xf numFmtId="0" fontId="23" fillId="9" borderId="1" xfId="0" applyFont="1" applyFill="1" applyBorder="1" applyAlignment="1" applyProtection="1">
      <alignment vertical="center" wrapText="1"/>
      <protection locked="0"/>
    </xf>
    <xf numFmtId="0" fontId="0" fillId="0" borderId="0" xfId="0" applyProtection="1">
      <protection locked="0"/>
    </xf>
    <xf numFmtId="9" fontId="33" fillId="9" borderId="1" xfId="3" applyFont="1" applyFill="1" applyBorder="1" applyAlignment="1">
      <alignment vertical="center" wrapText="1"/>
    </xf>
    <xf numFmtId="0" fontId="5" fillId="14" borderId="0" xfId="0" applyFont="1" applyFill="1"/>
    <xf numFmtId="0" fontId="5" fillId="0" borderId="18" xfId="0" applyFont="1" applyBorder="1" applyAlignment="1">
      <alignment horizontal="left" vertical="top"/>
    </xf>
    <xf numFmtId="0" fontId="5" fillId="0" borderId="16" xfId="0" applyFont="1" applyBorder="1" applyAlignment="1">
      <alignment horizontal="left" vertical="top"/>
    </xf>
    <xf numFmtId="0" fontId="5" fillId="0" borderId="16" xfId="0" applyFont="1" applyBorder="1" applyAlignment="1">
      <alignment vertical="top"/>
    </xf>
    <xf numFmtId="0" fontId="38" fillId="0" borderId="16" xfId="0" applyFont="1" applyBorder="1" applyAlignment="1">
      <alignment horizontal="left"/>
    </xf>
    <xf numFmtId="0" fontId="39" fillId="0" borderId="16" xfId="0" applyFont="1" applyBorder="1" applyAlignment="1">
      <alignment wrapText="1"/>
    </xf>
    <xf numFmtId="0" fontId="38" fillId="0" borderId="18" xfId="0" applyFont="1" applyBorder="1" applyAlignment="1">
      <alignment horizontal="center"/>
    </xf>
    <xf numFmtId="2" fontId="38" fillId="0" borderId="18" xfId="0" applyNumberFormat="1" applyFont="1" applyBorder="1" applyAlignment="1">
      <alignment horizontal="center"/>
    </xf>
    <xf numFmtId="3" fontId="38" fillId="0" borderId="18" xfId="0" applyNumberFormat="1" applyFont="1" applyBorder="1" applyAlignment="1" applyProtection="1">
      <alignment horizontal="center"/>
      <protection locked="0"/>
    </xf>
    <xf numFmtId="43" fontId="38" fillId="0" borderId="16" xfId="2" applyFont="1" applyBorder="1" applyAlignment="1" applyProtection="1">
      <alignment horizontal="center"/>
    </xf>
    <xf numFmtId="0" fontId="40" fillId="0" borderId="0" xfId="0" applyFont="1"/>
    <xf numFmtId="0" fontId="38" fillId="0" borderId="16" xfId="0" applyFont="1" applyBorder="1"/>
    <xf numFmtId="0" fontId="1" fillId="0" borderId="0" xfId="1"/>
    <xf numFmtId="2" fontId="1" fillId="0" borderId="0" xfId="1" applyNumberFormat="1" applyAlignment="1">
      <alignment horizontal="center" vertical="center"/>
    </xf>
    <xf numFmtId="0" fontId="1" fillId="0" borderId="0" xfId="1" applyAlignment="1">
      <alignment horizontal="center" vertical="center"/>
    </xf>
    <xf numFmtId="0" fontId="5" fillId="0" borderId="0" xfId="1" applyFont="1" applyAlignment="1">
      <alignment horizontal="center" vertical="center"/>
    </xf>
    <xf numFmtId="0" fontId="5" fillId="0" borderId="0" xfId="1" applyFont="1"/>
    <xf numFmtId="0" fontId="5" fillId="6" borderId="0" xfId="1" applyFont="1" applyFill="1"/>
    <xf numFmtId="0" fontId="1" fillId="6" borderId="0" xfId="1" applyFill="1"/>
    <xf numFmtId="168" fontId="6" fillId="0" borderId="10" xfId="5" applyNumberFormat="1" applyFont="1" applyFill="1" applyBorder="1" applyAlignment="1">
      <alignment horizontal="center" vertical="center"/>
    </xf>
    <xf numFmtId="2" fontId="5" fillId="0" borderId="0" xfId="1" applyNumberFormat="1" applyFont="1" applyAlignment="1">
      <alignment horizontal="center" vertical="center"/>
    </xf>
    <xf numFmtId="3" fontId="1" fillId="0" borderId="0" xfId="1" applyNumberFormat="1" applyAlignment="1">
      <alignment horizontal="center" vertical="center"/>
    </xf>
    <xf numFmtId="0" fontId="6" fillId="9" borderId="1" xfId="1" applyFont="1" applyFill="1" applyBorder="1" applyAlignment="1">
      <alignment horizontal="center" vertical="center"/>
    </xf>
    <xf numFmtId="168" fontId="6" fillId="9" borderId="1" xfId="1" applyNumberFormat="1" applyFont="1" applyFill="1" applyBorder="1" applyAlignment="1">
      <alignment horizontal="center" vertical="center"/>
    </xf>
    <xf numFmtId="9" fontId="42" fillId="0" borderId="0" xfId="1" applyNumberFormat="1" applyFont="1" applyAlignment="1">
      <alignment horizontal="center" vertical="center"/>
    </xf>
    <xf numFmtId="0" fontId="41" fillId="9" borderId="14" xfId="0" applyFont="1" applyFill="1" applyBorder="1"/>
    <xf numFmtId="0" fontId="3" fillId="0" borderId="0" xfId="4" applyAlignment="1">
      <alignment vertical="center"/>
    </xf>
    <xf numFmtId="0" fontId="2" fillId="0" borderId="0" xfId="4" applyFont="1" applyAlignment="1">
      <alignment vertical="center"/>
    </xf>
    <xf numFmtId="0" fontId="2" fillId="0" borderId="0" xfId="4" applyFont="1" applyAlignment="1">
      <alignment horizontal="center" vertical="center"/>
    </xf>
    <xf numFmtId="49" fontId="2" fillId="0" borderId="0" xfId="4" applyNumberFormat="1" applyFont="1" applyAlignment="1">
      <alignment horizontal="left" vertical="center"/>
    </xf>
    <xf numFmtId="0" fontId="1" fillId="0" borderId="0" xfId="4" applyFont="1" applyAlignment="1">
      <alignment vertical="center"/>
    </xf>
    <xf numFmtId="166" fontId="41" fillId="9" borderId="10" xfId="14" applyNumberFormat="1" applyFont="1" applyFill="1" applyBorder="1" applyAlignment="1" applyProtection="1">
      <alignment horizontal="center" vertical="center"/>
    </xf>
    <xf numFmtId="0" fontId="6" fillId="9" borderId="14" xfId="4" applyFont="1" applyFill="1" applyBorder="1" applyAlignment="1" applyProtection="1">
      <alignment horizontal="center" vertical="center"/>
      <protection locked="0"/>
    </xf>
    <xf numFmtId="2" fontId="6" fillId="9" borderId="14" xfId="4" applyNumberFormat="1" applyFont="1" applyFill="1" applyBorder="1" applyAlignment="1">
      <alignment horizontal="center" vertical="center"/>
    </xf>
    <xf numFmtId="0" fontId="5" fillId="9" borderId="14" xfId="4" applyFont="1" applyFill="1" applyBorder="1" applyAlignment="1">
      <alignment horizontal="center" vertical="center"/>
    </xf>
    <xf numFmtId="0" fontId="6" fillId="9" borderId="14" xfId="4" applyFont="1" applyFill="1" applyBorder="1" applyAlignment="1">
      <alignment horizontal="center" vertical="center"/>
    </xf>
    <xf numFmtId="0" fontId="5" fillId="9" borderId="13" xfId="4" applyFont="1" applyFill="1" applyBorder="1" applyAlignment="1">
      <alignment vertical="center"/>
    </xf>
    <xf numFmtId="0" fontId="43" fillId="0" borderId="0" xfId="4" applyFont="1" applyAlignment="1">
      <alignment horizontal="center" vertical="center"/>
    </xf>
    <xf numFmtId="0" fontId="2" fillId="0" borderId="0" xfId="4" applyFont="1" applyAlignment="1" applyProtection="1">
      <alignment horizontal="center" vertical="center"/>
      <protection locked="0"/>
    </xf>
    <xf numFmtId="3" fontId="24" fillId="9" borderId="1" xfId="4" applyNumberFormat="1" applyFont="1" applyFill="1" applyBorder="1" applyAlignment="1">
      <alignment horizontal="center" vertical="center"/>
    </xf>
    <xf numFmtId="0" fontId="23" fillId="9" borderId="1" xfId="4" applyFont="1" applyFill="1" applyBorder="1" applyAlignment="1" applyProtection="1">
      <alignment vertical="center" wrapText="1"/>
      <protection locked="0"/>
    </xf>
    <xf numFmtId="0" fontId="23" fillId="9" borderId="1" xfId="4" applyFont="1" applyFill="1" applyBorder="1" applyAlignment="1">
      <alignment vertical="center" wrapText="1"/>
    </xf>
    <xf numFmtId="49" fontId="2" fillId="0" borderId="1" xfId="4" applyNumberFormat="1" applyFont="1" applyBorder="1" applyAlignment="1">
      <alignment vertical="center"/>
    </xf>
    <xf numFmtId="49" fontId="2" fillId="0" borderId="1" xfId="4" applyNumberFormat="1" applyFont="1" applyBorder="1" applyAlignment="1" applyProtection="1">
      <alignment vertical="center"/>
      <protection locked="0"/>
    </xf>
    <xf numFmtId="49" fontId="2" fillId="0" borderId="2" xfId="4" applyNumberFormat="1" applyFont="1" applyBorder="1" applyAlignment="1">
      <alignment vertical="center"/>
    </xf>
    <xf numFmtId="3" fontId="24" fillId="5" borderId="1" xfId="4" applyNumberFormat="1" applyFont="1" applyFill="1" applyBorder="1" applyAlignment="1">
      <alignment horizontal="center" vertical="center"/>
    </xf>
    <xf numFmtId="3" fontId="2" fillId="5" borderId="1" xfId="4" applyNumberFormat="1" applyFont="1" applyFill="1" applyBorder="1" applyAlignment="1" applyProtection="1">
      <alignment horizontal="center" vertical="center"/>
      <protection locked="0"/>
    </xf>
    <xf numFmtId="3" fontId="2" fillId="5" borderId="1" xfId="4" applyNumberFormat="1" applyFont="1" applyFill="1" applyBorder="1" applyAlignment="1">
      <alignment horizontal="center" vertical="center"/>
    </xf>
    <xf numFmtId="0" fontId="22" fillId="5" borderId="1" xfId="4" applyFont="1" applyFill="1" applyBorder="1" applyAlignment="1">
      <alignment vertical="center" wrapText="1"/>
    </xf>
    <xf numFmtId="0" fontId="22" fillId="5" borderId="3" xfId="4" applyFont="1" applyFill="1" applyBorder="1" applyAlignment="1">
      <alignment horizontal="right" vertical="center" wrapText="1"/>
    </xf>
    <xf numFmtId="49" fontId="2" fillId="0" borderId="2" xfId="4" applyNumberFormat="1" applyFont="1" applyBorder="1" applyAlignment="1">
      <alignment horizontal="center" vertical="center"/>
    </xf>
    <xf numFmtId="3" fontId="2" fillId="0" borderId="1" xfId="4" applyNumberFormat="1" applyFont="1" applyBorder="1" applyAlignment="1">
      <alignment horizontal="center" vertical="center"/>
    </xf>
    <xf numFmtId="3" fontId="2" fillId="0" borderId="1" xfId="4" applyNumberFormat="1" applyFont="1" applyBorder="1" applyAlignment="1" applyProtection="1">
      <alignment horizontal="center" vertical="center"/>
      <protection locked="0"/>
    </xf>
    <xf numFmtId="0" fontId="2" fillId="0" borderId="1" xfId="4" applyFont="1" applyBorder="1" applyAlignment="1">
      <alignment horizontal="center" vertical="center"/>
    </xf>
    <xf numFmtId="0" fontId="2" fillId="0" borderId="3" xfId="4" applyFont="1" applyBorder="1" applyAlignment="1">
      <alignment vertical="center"/>
    </xf>
    <xf numFmtId="0" fontId="2" fillId="0" borderId="2" xfId="4" applyFont="1" applyBorder="1" applyAlignment="1">
      <alignment vertical="center"/>
    </xf>
    <xf numFmtId="0" fontId="22" fillId="0" borderId="3" xfId="4" applyFont="1" applyBorder="1" applyAlignment="1">
      <alignment vertical="center"/>
    </xf>
    <xf numFmtId="0" fontId="2" fillId="0" borderId="2" xfId="4" applyFont="1" applyBorder="1" applyAlignment="1">
      <alignment horizontal="left" vertical="center"/>
    </xf>
    <xf numFmtId="3" fontId="2" fillId="4" borderId="1" xfId="4" applyNumberFormat="1" applyFont="1" applyFill="1" applyBorder="1" applyAlignment="1">
      <alignment horizontal="center" vertical="center"/>
    </xf>
    <xf numFmtId="3" fontId="2" fillId="4" borderId="1" xfId="4" applyNumberFormat="1" applyFont="1" applyFill="1" applyBorder="1" applyAlignment="1" applyProtection="1">
      <alignment horizontal="center" vertical="center"/>
      <protection locked="0"/>
    </xf>
    <xf numFmtId="3" fontId="2" fillId="4" borderId="1" xfId="4" applyNumberFormat="1" applyFont="1" applyFill="1" applyBorder="1" applyAlignment="1">
      <alignment horizontal="right" vertical="center"/>
    </xf>
    <xf numFmtId="0" fontId="22" fillId="4" borderId="3" xfId="4" applyFont="1" applyFill="1" applyBorder="1" applyAlignment="1">
      <alignment horizontal="left" vertical="center"/>
    </xf>
    <xf numFmtId="0" fontId="22" fillId="4" borderId="2" xfId="4" applyFont="1" applyFill="1" applyBorder="1" applyAlignment="1">
      <alignment horizontal="center" vertical="center"/>
    </xf>
    <xf numFmtId="49" fontId="2" fillId="0" borderId="3" xfId="4" applyNumberFormat="1" applyFont="1" applyBorder="1" applyAlignment="1">
      <alignment horizontal="center" vertical="center"/>
    </xf>
    <xf numFmtId="0" fontId="2" fillId="6" borderId="0" xfId="4" applyFont="1" applyFill="1" applyAlignment="1">
      <alignment vertical="center"/>
    </xf>
    <xf numFmtId="3" fontId="24" fillId="6" borderId="1" xfId="4" applyNumberFormat="1" applyFont="1" applyFill="1" applyBorder="1" applyAlignment="1">
      <alignment horizontal="center" vertical="center"/>
    </xf>
    <xf numFmtId="3" fontId="2" fillId="6" borderId="1" xfId="4" applyNumberFormat="1" applyFont="1" applyFill="1" applyBorder="1" applyAlignment="1" applyProtection="1">
      <alignment horizontal="center" vertical="center"/>
      <protection locked="0"/>
    </xf>
    <xf numFmtId="3" fontId="2" fillId="6" borderId="1" xfId="4" applyNumberFormat="1" applyFont="1" applyFill="1" applyBorder="1" applyAlignment="1">
      <alignment horizontal="center" vertical="center"/>
    </xf>
    <xf numFmtId="0" fontId="22" fillId="6" borderId="1" xfId="4" applyFont="1" applyFill="1" applyBorder="1" applyAlignment="1">
      <alignment vertical="center" wrapText="1"/>
    </xf>
    <xf numFmtId="0" fontId="22" fillId="6" borderId="1" xfId="4" applyFont="1" applyFill="1" applyBorder="1" applyAlignment="1">
      <alignment horizontal="right" vertical="center" wrapText="1"/>
    </xf>
    <xf numFmtId="49" fontId="2" fillId="6" borderId="2" xfId="4" applyNumberFormat="1" applyFont="1" applyFill="1" applyBorder="1" applyAlignment="1">
      <alignment horizontal="center" vertical="center"/>
    </xf>
    <xf numFmtId="0" fontId="2" fillId="0" borderId="3" xfId="4" applyFont="1" applyBorder="1" applyAlignment="1">
      <alignment vertical="center" wrapText="1"/>
    </xf>
    <xf numFmtId="3" fontId="2" fillId="0" borderId="1" xfId="4" applyNumberFormat="1" applyFont="1" applyBorder="1" applyAlignment="1">
      <alignment horizontal="right" vertical="center"/>
    </xf>
    <xf numFmtId="49" fontId="22" fillId="0" borderId="3" xfId="4" applyNumberFormat="1" applyFont="1" applyBorder="1" applyAlignment="1">
      <alignment horizontal="center" vertical="center"/>
    </xf>
    <xf numFmtId="3" fontId="2" fillId="5" borderId="1" xfId="4" applyNumberFormat="1" applyFont="1" applyFill="1" applyBorder="1" applyAlignment="1">
      <alignment horizontal="right" vertical="center"/>
    </xf>
    <xf numFmtId="49" fontId="2" fillId="0" borderId="2" xfId="4" applyNumberFormat="1" applyFont="1" applyBorder="1" applyAlignment="1">
      <alignment horizontal="left" vertical="center"/>
    </xf>
    <xf numFmtId="0" fontId="2" fillId="0" borderId="3" xfId="4" applyFont="1" applyBorder="1" applyAlignment="1">
      <alignment horizontal="left" vertical="center"/>
    </xf>
    <xf numFmtId="0" fontId="22" fillId="0" borderId="3" xfId="4" applyFont="1" applyBorder="1" applyAlignment="1">
      <alignment horizontal="left" vertical="center"/>
    </xf>
    <xf numFmtId="0" fontId="2" fillId="13" borderId="0" xfId="4" applyFont="1" applyFill="1" applyAlignment="1">
      <alignment vertical="center"/>
    </xf>
    <xf numFmtId="0" fontId="22" fillId="0" borderId="3" xfId="4" applyFont="1" applyBorder="1" applyAlignment="1">
      <alignment horizontal="center" vertical="center" wrapText="1"/>
    </xf>
    <xf numFmtId="0" fontId="22" fillId="0" borderId="1" xfId="4" applyFont="1" applyBorder="1" applyAlignment="1">
      <alignment horizontal="center" vertical="center"/>
    </xf>
    <xf numFmtId="16" fontId="22" fillId="0" borderId="3" xfId="4" applyNumberFormat="1" applyFont="1" applyBorder="1" applyAlignment="1">
      <alignment horizontal="center" vertical="center"/>
    </xf>
    <xf numFmtId="3" fontId="24" fillId="10" borderId="1" xfId="4" applyNumberFormat="1" applyFont="1" applyFill="1" applyBorder="1" applyAlignment="1">
      <alignment horizontal="center" vertical="center"/>
    </xf>
    <xf numFmtId="3" fontId="2" fillId="10" borderId="1" xfId="4" applyNumberFormat="1" applyFont="1" applyFill="1" applyBorder="1" applyAlignment="1" applyProtection="1">
      <alignment horizontal="center" vertical="center"/>
      <protection locked="0"/>
    </xf>
    <xf numFmtId="3" fontId="2" fillId="10" borderId="1" xfId="4" applyNumberFormat="1" applyFont="1" applyFill="1" applyBorder="1" applyAlignment="1">
      <alignment horizontal="center" vertical="center"/>
    </xf>
    <xf numFmtId="3" fontId="2" fillId="10" borderId="1" xfId="4" applyNumberFormat="1" applyFont="1" applyFill="1" applyBorder="1" applyAlignment="1">
      <alignment horizontal="right" vertical="center"/>
    </xf>
    <xf numFmtId="0" fontId="23" fillId="10" borderId="3" xfId="4" applyFont="1" applyFill="1" applyBorder="1" applyAlignment="1">
      <alignment horizontal="center" vertical="center" wrapText="1"/>
    </xf>
    <xf numFmtId="0" fontId="2" fillId="10" borderId="2" xfId="4" applyFont="1" applyFill="1" applyBorder="1" applyAlignment="1">
      <alignment horizontal="left" vertical="center"/>
    </xf>
    <xf numFmtId="3" fontId="2" fillId="0" borderId="1" xfId="4" applyNumberFormat="1" applyFont="1" applyBorder="1" applyAlignment="1" applyProtection="1">
      <alignment horizontal="center" vertical="center" wrapText="1"/>
      <protection locked="0"/>
    </xf>
    <xf numFmtId="0" fontId="23" fillId="0" borderId="3" xfId="4" applyFont="1" applyBorder="1" applyAlignment="1">
      <alignment vertical="center"/>
    </xf>
    <xf numFmtId="49" fontId="2" fillId="0" borderId="3" xfId="4" applyNumberFormat="1" applyFont="1" applyBorder="1" applyAlignment="1">
      <alignment vertical="center"/>
    </xf>
    <xf numFmtId="0" fontId="25" fillId="0" borderId="3" xfId="4" applyFont="1" applyBorder="1" applyAlignment="1">
      <alignment vertical="center"/>
    </xf>
    <xf numFmtId="0" fontId="22" fillId="6" borderId="3" xfId="4" applyFont="1" applyFill="1" applyBorder="1" applyAlignment="1">
      <alignment vertical="center"/>
    </xf>
    <xf numFmtId="0" fontId="2" fillId="0" borderId="3" xfId="4" applyFont="1" applyBorder="1" applyAlignment="1">
      <alignment horizontal="center" vertical="center"/>
    </xf>
    <xf numFmtId="0" fontId="22" fillId="5" borderId="3" xfId="4" applyFont="1" applyFill="1" applyBorder="1" applyAlignment="1">
      <alignment horizontal="right" vertical="center"/>
    </xf>
    <xf numFmtId="0" fontId="2" fillId="10" borderId="1" xfId="4" applyFont="1" applyFill="1" applyBorder="1" applyAlignment="1">
      <alignment horizontal="center" vertical="center"/>
    </xf>
    <xf numFmtId="0" fontId="23" fillId="10" borderId="3" xfId="4" applyFont="1" applyFill="1" applyBorder="1" applyAlignment="1">
      <alignment horizontal="center" vertical="center"/>
    </xf>
    <xf numFmtId="0" fontId="21" fillId="0" borderId="0" xfId="4" applyFont="1" applyAlignment="1">
      <alignment vertical="center"/>
    </xf>
    <xf numFmtId="0" fontId="20" fillId="2" borderId="27" xfId="4" applyFont="1" applyFill="1" applyBorder="1" applyAlignment="1">
      <alignment horizontal="center" vertical="center" wrapText="1"/>
    </xf>
    <xf numFmtId="0" fontId="20" fillId="2" borderId="27" xfId="4" applyFont="1" applyFill="1" applyBorder="1" applyAlignment="1" applyProtection="1">
      <alignment horizontal="center" vertical="center" wrapText="1"/>
      <protection locked="0"/>
    </xf>
    <xf numFmtId="49" fontId="20" fillId="2" borderId="3" xfId="4" applyNumberFormat="1" applyFont="1" applyFill="1" applyBorder="1" applyAlignment="1">
      <alignment horizontal="center" vertical="center" wrapText="1"/>
    </xf>
    <xf numFmtId="0" fontId="20" fillId="2" borderId="26" xfId="4" applyFont="1" applyFill="1" applyBorder="1" applyAlignment="1">
      <alignment horizontal="center" vertical="center" wrapText="1"/>
    </xf>
    <xf numFmtId="49" fontId="2" fillId="0" borderId="0" xfId="0" applyNumberFormat="1" applyFont="1" applyAlignment="1">
      <alignment horizontal="center" vertical="center"/>
    </xf>
    <xf numFmtId="0" fontId="22" fillId="0" borderId="0" xfId="0" applyFont="1"/>
    <xf numFmtId="0" fontId="22" fillId="9" borderId="0" xfId="0" applyFont="1" applyFill="1" applyAlignment="1">
      <alignment horizontal="center"/>
    </xf>
    <xf numFmtId="0" fontId="22" fillId="0" borderId="0" xfId="0" applyFont="1" applyAlignment="1">
      <alignment horizontal="center"/>
    </xf>
    <xf numFmtId="49" fontId="22" fillId="9" borderId="0" xfId="0" applyNumberFormat="1" applyFont="1" applyFill="1" applyAlignment="1">
      <alignment horizontal="center" vertical="top"/>
    </xf>
    <xf numFmtId="49" fontId="22" fillId="0" borderId="0" xfId="0" applyNumberFormat="1" applyFont="1" applyAlignment="1">
      <alignment horizontal="center" vertical="center"/>
    </xf>
    <xf numFmtId="49" fontId="22" fillId="0" borderId="0" xfId="0" applyNumberFormat="1" applyFont="1" applyAlignment="1">
      <alignment horizontal="center" vertical="top"/>
    </xf>
    <xf numFmtId="0" fontId="22" fillId="5" borderId="3" xfId="0" applyFont="1" applyFill="1" applyBorder="1" applyAlignment="1">
      <alignment horizontal="center" vertical="top"/>
    </xf>
    <xf numFmtId="3" fontId="2" fillId="6" borderId="1" xfId="0" applyNumberFormat="1" applyFont="1" applyFill="1" applyBorder="1" applyAlignment="1">
      <alignment horizontal="center"/>
    </xf>
    <xf numFmtId="3" fontId="2" fillId="6" borderId="1" xfId="0" applyNumberFormat="1" applyFont="1" applyFill="1" applyBorder="1" applyAlignment="1">
      <alignment horizontal="right"/>
    </xf>
    <xf numFmtId="0" fontId="22" fillId="6" borderId="1" xfId="0" applyFont="1" applyFill="1" applyBorder="1" applyAlignment="1">
      <alignment horizontal="left"/>
    </xf>
    <xf numFmtId="0" fontId="22" fillId="6" borderId="2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wrapText="1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left" vertical="center" wrapText="1"/>
    </xf>
    <xf numFmtId="0" fontId="22" fillId="0" borderId="3" xfId="0" applyFont="1" applyBorder="1" applyAlignment="1">
      <alignment horizontal="left" vertical="center" wrapText="1"/>
    </xf>
    <xf numFmtId="0" fontId="22" fillId="4" borderId="2" xfId="0" applyFont="1" applyFill="1" applyBorder="1" applyAlignment="1">
      <alignment horizontal="center" vertical="center"/>
    </xf>
    <xf numFmtId="0" fontId="20" fillId="9" borderId="6" xfId="0" applyFont="1" applyFill="1" applyBorder="1" applyAlignment="1">
      <alignment horizontal="center" vertical="center" wrapText="1"/>
    </xf>
    <xf numFmtId="49" fontId="20" fillId="9" borderId="9" xfId="0" applyNumberFormat="1" applyFont="1" applyFill="1" applyBorder="1" applyAlignment="1">
      <alignment horizontal="center" vertical="center" wrapText="1"/>
    </xf>
    <xf numFmtId="0" fontId="20" fillId="9" borderId="5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2" fontId="6" fillId="0" borderId="10" xfId="0" applyNumberFormat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6" fillId="0" borderId="13" xfId="0" applyFont="1" applyBorder="1"/>
    <xf numFmtId="3" fontId="5" fillId="0" borderId="18" xfId="0" applyNumberFormat="1" applyFont="1" applyBorder="1" applyAlignment="1">
      <alignment horizontal="center" vertical="center"/>
    </xf>
    <xf numFmtId="2" fontId="5" fillId="0" borderId="18" xfId="0" applyNumberFormat="1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3" fontId="6" fillId="0" borderId="18" xfId="0" applyNumberFormat="1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/>
    </xf>
    <xf numFmtId="2" fontId="1" fillId="0" borderId="18" xfId="0" applyNumberFormat="1" applyFont="1" applyBorder="1" applyAlignment="1">
      <alignment horizontal="center" vertical="center"/>
    </xf>
    <xf numFmtId="3" fontId="6" fillId="0" borderId="12" xfId="0" applyNumberFormat="1" applyFont="1" applyBorder="1" applyAlignment="1">
      <alignment horizontal="center" vertical="center"/>
    </xf>
    <xf numFmtId="2" fontId="6" fillId="0" borderId="18" xfId="0" applyNumberFormat="1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" fontId="6" fillId="0" borderId="10" xfId="0" applyNumberFormat="1" applyFont="1" applyBorder="1" applyAlignment="1">
      <alignment horizontal="center" vertical="center"/>
    </xf>
    <xf numFmtId="3" fontId="5" fillId="0" borderId="10" xfId="0" applyNumberFormat="1" applyFont="1" applyBorder="1" applyAlignment="1">
      <alignment horizontal="center" vertical="center"/>
    </xf>
    <xf numFmtId="2" fontId="5" fillId="0" borderId="10" xfId="0" applyNumberFormat="1" applyFont="1" applyBorder="1" applyAlignment="1">
      <alignment horizontal="center" vertical="center"/>
    </xf>
    <xf numFmtId="3" fontId="5" fillId="0" borderId="12" xfId="0" applyNumberFormat="1" applyFont="1" applyBorder="1" applyAlignment="1">
      <alignment horizontal="center" vertical="center"/>
    </xf>
    <xf numFmtId="2" fontId="5" fillId="0" borderId="12" xfId="0" applyNumberFormat="1" applyFont="1" applyBorder="1" applyAlignment="1">
      <alignment horizontal="center" vertical="center"/>
    </xf>
    <xf numFmtId="0" fontId="6" fillId="0" borderId="10" xfId="0" applyFont="1" applyBorder="1" applyAlignment="1">
      <alignment horizontal="left"/>
    </xf>
    <xf numFmtId="0" fontId="6" fillId="0" borderId="14" xfId="0" applyFont="1" applyBorder="1"/>
    <xf numFmtId="0" fontId="5" fillId="0" borderId="18" xfId="0" applyFont="1" applyBorder="1"/>
    <xf numFmtId="0" fontId="1" fillId="0" borderId="12" xfId="0" applyFont="1" applyBorder="1" applyAlignment="1">
      <alignment horizontal="center" vertical="center"/>
    </xf>
    <xf numFmtId="0" fontId="6" fillId="0" borderId="10" xfId="0" applyFont="1" applyBorder="1"/>
    <xf numFmtId="0" fontId="6" fillId="0" borderId="13" xfId="0" applyFont="1" applyBorder="1" applyAlignment="1">
      <alignment horizontal="left"/>
    </xf>
    <xf numFmtId="0" fontId="5" fillId="0" borderId="0" xfId="0" applyFont="1" applyAlignment="1">
      <alignment horizontal="left"/>
    </xf>
    <xf numFmtId="0" fontId="6" fillId="0" borderId="18" xfId="0" applyFont="1" applyBorder="1" applyAlignment="1">
      <alignment horizontal="center" vertical="center"/>
    </xf>
    <xf numFmtId="0" fontId="6" fillId="0" borderId="12" xfId="0" applyFont="1" applyBorder="1"/>
    <xf numFmtId="3" fontId="5" fillId="0" borderId="20" xfId="0" applyNumberFormat="1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164" fontId="5" fillId="0" borderId="18" xfId="0" applyNumberFormat="1" applyFont="1" applyBorder="1" applyAlignment="1">
      <alignment horizontal="center" vertical="center"/>
    </xf>
    <xf numFmtId="164" fontId="5" fillId="6" borderId="18" xfId="0" applyNumberFormat="1" applyFont="1" applyFill="1" applyBorder="1" applyAlignment="1">
      <alignment horizontal="center" vertical="center"/>
    </xf>
    <xf numFmtId="3" fontId="5" fillId="6" borderId="18" xfId="0" applyNumberFormat="1" applyFont="1" applyFill="1" applyBorder="1" applyAlignment="1">
      <alignment horizontal="center" vertical="center"/>
    </xf>
    <xf numFmtId="2" fontId="5" fillId="6" borderId="18" xfId="0" applyNumberFormat="1" applyFont="1" applyFill="1" applyBorder="1" applyAlignment="1">
      <alignment horizontal="center" vertical="center"/>
    </xf>
    <xf numFmtId="0" fontId="5" fillId="6" borderId="12" xfId="0" applyFont="1" applyFill="1" applyBorder="1" applyAlignment="1">
      <alignment horizontal="center" vertical="center"/>
    </xf>
    <xf numFmtId="0" fontId="4" fillId="0" borderId="13" xfId="0" applyFont="1" applyBorder="1"/>
    <xf numFmtId="0" fontId="5" fillId="0" borderId="18" xfId="0" applyFont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/>
    </xf>
    <xf numFmtId="0" fontId="5" fillId="0" borderId="15" xfId="0" applyFont="1" applyBorder="1"/>
    <xf numFmtId="0" fontId="5" fillId="0" borderId="19" xfId="0" applyFont="1" applyBorder="1"/>
    <xf numFmtId="0" fontId="6" fillId="0" borderId="11" xfId="0" applyFont="1" applyBorder="1" applyAlignment="1">
      <alignment horizontal="center" vertical="center"/>
    </xf>
    <xf numFmtId="0" fontId="6" fillId="0" borderId="17" xfId="0" applyFont="1" applyBorder="1" applyAlignment="1">
      <alignment horizontal="left"/>
    </xf>
    <xf numFmtId="0" fontId="4" fillId="0" borderId="16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/>
    </xf>
    <xf numFmtId="0" fontId="6" fillId="0" borderId="10" xfId="0" applyFont="1" applyBorder="1" applyAlignment="1">
      <alignment vertical="center" wrapText="1"/>
    </xf>
    <xf numFmtId="0" fontId="4" fillId="0" borderId="15" xfId="0" applyFont="1" applyBorder="1" applyAlignment="1">
      <alignment horizontal="center" vertical="center"/>
    </xf>
    <xf numFmtId="2" fontId="7" fillId="0" borderId="15" xfId="0" applyNumberFormat="1" applyFont="1" applyBorder="1" applyAlignment="1">
      <alignment horizontal="center" vertical="center"/>
    </xf>
    <xf numFmtId="0" fontId="7" fillId="0" borderId="15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168" fontId="6" fillId="6" borderId="0" xfId="1" applyNumberFormat="1" applyFont="1" applyFill="1" applyAlignment="1">
      <alignment horizontal="center" vertical="center"/>
    </xf>
    <xf numFmtId="0" fontId="5" fillId="6" borderId="0" xfId="1" applyFont="1" applyFill="1" applyAlignment="1">
      <alignment horizontal="center" vertical="center"/>
    </xf>
    <xf numFmtId="2" fontId="5" fillId="6" borderId="0" xfId="1" applyNumberFormat="1" applyFont="1" applyFill="1" applyAlignment="1">
      <alignment horizontal="center" vertical="center"/>
    </xf>
    <xf numFmtId="0" fontId="6" fillId="6" borderId="0" xfId="1" applyFont="1" applyFill="1" applyAlignment="1">
      <alignment horizontal="center" vertical="center"/>
    </xf>
    <xf numFmtId="168" fontId="6" fillId="7" borderId="10" xfId="5" applyNumberFormat="1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2" fontId="6" fillId="7" borderId="10" xfId="0" applyNumberFormat="1" applyFont="1" applyFill="1" applyBorder="1" applyAlignment="1">
      <alignment horizontal="center" vertical="center"/>
    </xf>
    <xf numFmtId="0" fontId="5" fillId="7" borderId="10" xfId="0" applyFont="1" applyFill="1" applyBorder="1" applyAlignment="1">
      <alignment horizontal="center" vertical="center"/>
    </xf>
    <xf numFmtId="0" fontId="6" fillId="7" borderId="13" xfId="0" applyFont="1" applyFill="1" applyBorder="1"/>
    <xf numFmtId="3" fontId="6" fillId="7" borderId="10" xfId="0" applyNumberFormat="1" applyFont="1" applyFill="1" applyBorder="1" applyAlignment="1">
      <alignment horizontal="center" vertical="center"/>
    </xf>
    <xf numFmtId="3" fontId="5" fillId="7" borderId="10" xfId="0" applyNumberFormat="1" applyFont="1" applyFill="1" applyBorder="1" applyAlignment="1">
      <alignment horizontal="center" vertical="center"/>
    </xf>
    <xf numFmtId="2" fontId="5" fillId="7" borderId="10" xfId="0" applyNumberFormat="1" applyFont="1" applyFill="1" applyBorder="1" applyAlignment="1">
      <alignment horizontal="center" vertical="center"/>
    </xf>
    <xf numFmtId="0" fontId="6" fillId="7" borderId="14" xfId="0" applyFont="1" applyFill="1" applyBorder="1"/>
    <xf numFmtId="0" fontId="6" fillId="7" borderId="10" xfId="0" applyFont="1" applyFill="1" applyBorder="1"/>
    <xf numFmtId="0" fontId="6" fillId="7" borderId="13" xfId="0" applyFont="1" applyFill="1" applyBorder="1" applyAlignment="1">
      <alignment horizontal="left"/>
    </xf>
    <xf numFmtId="0" fontId="6" fillId="7" borderId="11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horizontal="center" vertical="center" wrapText="1"/>
    </xf>
    <xf numFmtId="2" fontId="6" fillId="5" borderId="10" xfId="0" applyNumberFormat="1" applyFont="1" applyFill="1" applyBorder="1" applyAlignment="1">
      <alignment horizontal="center" vertical="center"/>
    </xf>
    <xf numFmtId="0" fontId="6" fillId="5" borderId="13" xfId="0" applyFont="1" applyFill="1" applyBorder="1" applyAlignment="1">
      <alignment horizontal="center" vertical="center"/>
    </xf>
    <xf numFmtId="0" fontId="6" fillId="5" borderId="10" xfId="0" applyFont="1" applyFill="1" applyBorder="1" applyAlignment="1">
      <alignment vertical="center"/>
    </xf>
    <xf numFmtId="0" fontId="37" fillId="0" borderId="0" xfId="12" applyAlignment="1">
      <alignment horizontal="left" vertical="top"/>
    </xf>
    <xf numFmtId="0" fontId="46" fillId="0" borderId="0" xfId="12" applyFont="1" applyAlignment="1">
      <alignment horizontal="left" vertical="top"/>
    </xf>
    <xf numFmtId="0" fontId="37" fillId="0" borderId="0" xfId="12"/>
    <xf numFmtId="167" fontId="47" fillId="5" borderId="11" xfId="12" applyNumberFormat="1" applyFont="1" applyFill="1" applyBorder="1"/>
    <xf numFmtId="0" fontId="37" fillId="5" borderId="14" xfId="12" applyFill="1" applyBorder="1"/>
    <xf numFmtId="0" fontId="48" fillId="5" borderId="14" xfId="12" applyFont="1" applyFill="1" applyBorder="1" applyAlignment="1">
      <alignment horizontal="center" vertical="center" wrapText="1"/>
    </xf>
    <xf numFmtId="0" fontId="49" fillId="5" borderId="14" xfId="12" applyFont="1" applyFill="1" applyBorder="1" applyAlignment="1">
      <alignment horizontal="center" vertical="center" wrapText="1"/>
    </xf>
    <xf numFmtId="0" fontId="49" fillId="5" borderId="13" xfId="12" applyFont="1" applyFill="1" applyBorder="1" applyAlignment="1">
      <alignment horizontal="center" vertical="center" wrapText="1"/>
    </xf>
    <xf numFmtId="0" fontId="49" fillId="6" borderId="0" xfId="12" applyFont="1" applyFill="1" applyAlignment="1">
      <alignment vertical="center" wrapText="1"/>
    </xf>
    <xf numFmtId="0" fontId="50" fillId="0" borderId="0" xfId="12" applyFont="1" applyAlignment="1">
      <alignment horizontal="center"/>
    </xf>
    <xf numFmtId="0" fontId="37" fillId="0" borderId="0" xfId="12" applyAlignment="1">
      <alignment horizontal="center"/>
    </xf>
    <xf numFmtId="0" fontId="37" fillId="6" borderId="0" xfId="12" applyFill="1"/>
    <xf numFmtId="10" fontId="51" fillId="5" borderId="14" xfId="12" applyNumberFormat="1" applyFont="1" applyFill="1" applyBorder="1" applyAlignment="1">
      <alignment horizontal="center" vertical="center" wrapText="1"/>
    </xf>
    <xf numFmtId="0" fontId="46" fillId="0" borderId="0" xfId="12" applyFont="1" applyAlignment="1">
      <alignment horizontal="left" wrapText="1"/>
    </xf>
    <xf numFmtId="43" fontId="46" fillId="5" borderId="31" xfId="12" applyNumberFormat="1" applyFont="1" applyFill="1" applyBorder="1" applyAlignment="1">
      <alignment horizontal="center" vertical="top" wrapText="1"/>
    </xf>
    <xf numFmtId="1" fontId="49" fillId="0" borderId="31" xfId="12" applyNumberFormat="1" applyFont="1" applyBorder="1" applyAlignment="1">
      <alignment horizontal="center" vertical="top" shrinkToFit="1"/>
    </xf>
    <xf numFmtId="43" fontId="52" fillId="0" borderId="31" xfId="13" applyFont="1" applyFill="1" applyBorder="1" applyAlignment="1">
      <alignment horizontal="center" vertical="top" wrapText="1"/>
    </xf>
    <xf numFmtId="0" fontId="46" fillId="0" borderId="31" xfId="12" applyFont="1" applyBorder="1" applyAlignment="1">
      <alignment horizontal="center" vertical="top" wrapText="1"/>
    </xf>
    <xf numFmtId="1" fontId="53" fillId="6" borderId="31" xfId="12" applyNumberFormat="1" applyFont="1" applyFill="1" applyBorder="1" applyAlignment="1">
      <alignment horizontal="center" vertical="top" shrinkToFit="1"/>
    </xf>
    <xf numFmtId="0" fontId="54" fillId="6" borderId="34" xfId="12" applyFont="1" applyFill="1" applyBorder="1" applyAlignment="1">
      <alignment horizontal="center" vertical="top" wrapText="1"/>
    </xf>
    <xf numFmtId="0" fontId="46" fillId="6" borderId="31" xfId="12" applyFont="1" applyFill="1" applyBorder="1" applyAlignment="1">
      <alignment horizontal="left" vertical="top" wrapText="1"/>
    </xf>
    <xf numFmtId="0" fontId="46" fillId="0" borderId="31" xfId="12" applyFont="1" applyBorder="1" applyAlignment="1">
      <alignment horizontal="left" wrapText="1"/>
    </xf>
    <xf numFmtId="2" fontId="53" fillId="6" borderId="31" xfId="12" applyNumberFormat="1" applyFont="1" applyFill="1" applyBorder="1" applyAlignment="1">
      <alignment horizontal="center" vertical="top" shrinkToFit="1"/>
    </xf>
    <xf numFmtId="1" fontId="53" fillId="0" borderId="31" xfId="12" applyNumberFormat="1" applyFont="1" applyBorder="1" applyAlignment="1">
      <alignment horizontal="center" vertical="top" shrinkToFit="1"/>
    </xf>
    <xf numFmtId="0" fontId="54" fillId="0" borderId="34" xfId="12" applyFont="1" applyBorder="1" applyAlignment="1">
      <alignment horizontal="center" vertical="top" wrapText="1"/>
    </xf>
    <xf numFmtId="0" fontId="55" fillId="6" borderId="31" xfId="12" applyFont="1" applyFill="1" applyBorder="1" applyAlignment="1">
      <alignment horizontal="left" vertical="top" wrapText="1"/>
    </xf>
    <xf numFmtId="0" fontId="54" fillId="0" borderId="34" xfId="12" applyFont="1" applyBorder="1" applyAlignment="1">
      <alignment horizontal="left" vertical="top" wrapText="1"/>
    </xf>
    <xf numFmtId="0" fontId="46" fillId="0" borderId="31" xfId="12" applyFont="1" applyBorder="1" applyAlignment="1">
      <alignment horizontal="left" vertical="top" wrapText="1"/>
    </xf>
    <xf numFmtId="1" fontId="53" fillId="0" borderId="31" xfId="12" applyNumberFormat="1" applyFont="1" applyBorder="1" applyAlignment="1">
      <alignment horizontal="right" vertical="top" indent="1" shrinkToFit="1"/>
    </xf>
    <xf numFmtId="0" fontId="54" fillId="0" borderId="34" xfId="12" applyFont="1" applyBorder="1" applyAlignment="1">
      <alignment horizontal="left" vertical="top" wrapText="1" indent="1"/>
    </xf>
    <xf numFmtId="0" fontId="1" fillId="0" borderId="31" xfId="12" applyFont="1" applyBorder="1" applyAlignment="1">
      <alignment horizontal="left" vertical="top" wrapText="1"/>
    </xf>
    <xf numFmtId="0" fontId="46" fillId="0" borderId="34" xfId="12" applyFont="1" applyBorder="1" applyAlignment="1">
      <alignment horizontal="left" wrapText="1"/>
    </xf>
    <xf numFmtId="1" fontId="58" fillId="0" borderId="31" xfId="12" applyNumberFormat="1" applyFont="1" applyBorder="1" applyAlignment="1">
      <alignment horizontal="center" vertical="top" shrinkToFit="1"/>
    </xf>
    <xf numFmtId="0" fontId="46" fillId="0" borderId="0" xfId="12" applyFont="1" applyAlignment="1">
      <alignment horizontal="left" vertical="center" wrapText="1"/>
    </xf>
    <xf numFmtId="0" fontId="46" fillId="0" borderId="31" xfId="12" applyFont="1" applyBorder="1" applyAlignment="1">
      <alignment horizontal="left" vertical="center" wrapText="1"/>
    </xf>
    <xf numFmtId="0" fontId="57" fillId="0" borderId="31" xfId="12" applyFont="1" applyBorder="1" applyAlignment="1">
      <alignment horizontal="left" vertical="top" wrapText="1"/>
    </xf>
    <xf numFmtId="0" fontId="57" fillId="0" borderId="35" xfId="12" applyFont="1" applyBorder="1" applyAlignment="1">
      <alignment horizontal="center" vertical="top" wrapText="1"/>
    </xf>
    <xf numFmtId="0" fontId="57" fillId="0" borderId="35" xfId="12" applyFont="1" applyBorder="1" applyAlignment="1">
      <alignment horizontal="right" vertical="top" wrapText="1"/>
    </xf>
    <xf numFmtId="0" fontId="57" fillId="0" borderId="36" xfId="12" applyFont="1" applyBorder="1" applyAlignment="1">
      <alignment horizontal="center" vertical="top" wrapText="1"/>
    </xf>
    <xf numFmtId="0" fontId="46" fillId="0" borderId="0" xfId="12" applyFont="1" applyAlignment="1">
      <alignment horizontal="center" vertical="top" wrapText="1"/>
    </xf>
    <xf numFmtId="0" fontId="41" fillId="0" borderId="13" xfId="1" applyFont="1" applyBorder="1" applyAlignment="1">
      <alignment horizontal="center" vertical="center" wrapText="1"/>
    </xf>
    <xf numFmtId="0" fontId="41" fillId="0" borderId="14" xfId="1" applyFont="1" applyBorder="1" applyAlignment="1">
      <alignment horizontal="center" vertical="center" wrapText="1"/>
    </xf>
    <xf numFmtId="0" fontId="41" fillId="0" borderId="11" xfId="1" applyFont="1" applyBorder="1" applyAlignment="1">
      <alignment horizontal="center" vertical="center" wrapText="1"/>
    </xf>
    <xf numFmtId="0" fontId="6" fillId="15" borderId="13" xfId="0" applyFont="1" applyFill="1" applyBorder="1" applyAlignment="1">
      <alignment horizontal="center" vertical="center"/>
    </xf>
    <xf numFmtId="0" fontId="6" fillId="15" borderId="14" xfId="0" applyFont="1" applyFill="1" applyBorder="1" applyAlignment="1">
      <alignment horizontal="center" vertical="center"/>
    </xf>
    <xf numFmtId="0" fontId="6" fillId="15" borderId="11" xfId="0" applyFont="1" applyFill="1" applyBorder="1" applyAlignment="1">
      <alignment horizontal="center" vertical="center"/>
    </xf>
    <xf numFmtId="0" fontId="1" fillId="0" borderId="0" xfId="0" applyFont="1" applyAlignment="1">
      <alignment horizontal="center"/>
    </xf>
    <xf numFmtId="0" fontId="6" fillId="8" borderId="13" xfId="0" applyFont="1" applyFill="1" applyBorder="1" applyAlignment="1">
      <alignment horizontal="center" vertical="center"/>
    </xf>
    <xf numFmtId="0" fontId="6" fillId="8" borderId="14" xfId="0" applyFont="1" applyFill="1" applyBorder="1" applyAlignment="1">
      <alignment horizontal="center" vertical="center"/>
    </xf>
    <xf numFmtId="0" fontId="6" fillId="8" borderId="11" xfId="0" applyFont="1" applyFill="1" applyBorder="1" applyAlignment="1">
      <alignment horizontal="center" vertical="center"/>
    </xf>
    <xf numFmtId="49" fontId="14" fillId="0" borderId="2" xfId="0" applyNumberFormat="1" applyFont="1" applyBorder="1" applyAlignment="1">
      <alignment horizontal="right" vertical="center"/>
    </xf>
    <xf numFmtId="49" fontId="14" fillId="0" borderId="7" xfId="0" applyNumberFormat="1" applyFont="1" applyBorder="1" applyAlignment="1">
      <alignment horizontal="right" vertical="center"/>
    </xf>
    <xf numFmtId="49" fontId="14" fillId="0" borderId="1" xfId="0" applyNumberFormat="1" applyFont="1" applyBorder="1" applyAlignment="1">
      <alignment horizontal="right" vertical="center"/>
    </xf>
    <xf numFmtId="3" fontId="30" fillId="2" borderId="1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49" fontId="30" fillId="12" borderId="3" xfId="0" applyNumberFormat="1" applyFont="1" applyFill="1" applyBorder="1" applyAlignment="1">
      <alignment horizontal="center" vertical="center"/>
    </xf>
    <xf numFmtId="49" fontId="30" fillId="12" borderId="4" xfId="0" applyNumberFormat="1" applyFont="1" applyFill="1" applyBorder="1" applyAlignment="1">
      <alignment horizontal="center" vertical="center"/>
    </xf>
    <xf numFmtId="49" fontId="30" fillId="12" borderId="7" xfId="0" applyNumberFormat="1" applyFont="1" applyFill="1" applyBorder="1" applyAlignment="1">
      <alignment horizontal="center" vertical="center"/>
    </xf>
    <xf numFmtId="49" fontId="15" fillId="0" borderId="3" xfId="0" applyNumberFormat="1" applyFont="1" applyBorder="1" applyAlignment="1">
      <alignment horizontal="center" vertical="top"/>
    </xf>
    <xf numFmtId="49" fontId="15" fillId="0" borderId="4" xfId="0" applyNumberFormat="1" applyFont="1" applyBorder="1" applyAlignment="1">
      <alignment horizontal="center" vertical="top"/>
    </xf>
    <xf numFmtId="0" fontId="17" fillId="5" borderId="8" xfId="0" applyFont="1" applyFill="1" applyBorder="1" applyAlignment="1">
      <alignment horizontal="center" vertical="center" wrapText="1"/>
    </xf>
    <xf numFmtId="0" fontId="17" fillId="5" borderId="4" xfId="0" applyFont="1" applyFill="1" applyBorder="1" applyAlignment="1">
      <alignment horizontal="center" vertical="center" wrapText="1"/>
    </xf>
    <xf numFmtId="49" fontId="24" fillId="8" borderId="3" xfId="4" applyNumberFormat="1" applyFont="1" applyFill="1" applyBorder="1" applyAlignment="1">
      <alignment horizontal="center" vertical="center" wrapText="1"/>
    </xf>
    <xf numFmtId="49" fontId="24" fillId="8" borderId="4" xfId="4" applyNumberFormat="1" applyFont="1" applyFill="1" applyBorder="1" applyAlignment="1">
      <alignment horizontal="center" vertical="center" wrapText="1"/>
    </xf>
    <xf numFmtId="49" fontId="24" fillId="8" borderId="7" xfId="4" applyNumberFormat="1" applyFont="1" applyFill="1" applyBorder="1" applyAlignment="1">
      <alignment horizontal="center" vertical="center" wrapText="1"/>
    </xf>
    <xf numFmtId="0" fontId="23" fillId="9" borderId="8" xfId="4" applyFont="1" applyFill="1" applyBorder="1" applyAlignment="1">
      <alignment horizontal="center" vertical="center" wrapText="1"/>
    </xf>
    <xf numFmtId="0" fontId="23" fillId="9" borderId="4" xfId="4" applyFont="1" applyFill="1" applyBorder="1" applyAlignment="1">
      <alignment horizontal="center" vertical="center" wrapText="1"/>
    </xf>
    <xf numFmtId="0" fontId="23" fillId="9" borderId="7" xfId="4" applyFont="1" applyFill="1" applyBorder="1" applyAlignment="1">
      <alignment horizontal="center" vertical="center" wrapText="1"/>
    </xf>
    <xf numFmtId="0" fontId="23" fillId="9" borderId="8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7" xfId="0" applyFont="1" applyFill="1" applyBorder="1" applyAlignment="1">
      <alignment horizontal="center" vertical="center" wrapText="1"/>
    </xf>
    <xf numFmtId="0" fontId="59" fillId="9" borderId="13" xfId="12" applyFont="1" applyFill="1" applyBorder="1" applyAlignment="1">
      <alignment horizontal="center" vertical="top" wrapText="1"/>
    </xf>
    <xf numFmtId="0" fontId="59" fillId="9" borderId="14" xfId="12" applyFont="1" applyFill="1" applyBorder="1" applyAlignment="1">
      <alignment horizontal="center" vertical="top" wrapText="1"/>
    </xf>
    <xf numFmtId="0" fontId="59" fillId="9" borderId="11" xfId="12" applyFont="1" applyFill="1" applyBorder="1" applyAlignment="1">
      <alignment horizontal="center" vertical="top" wrapText="1"/>
    </xf>
    <xf numFmtId="0" fontId="46" fillId="5" borderId="34" xfId="12" applyFont="1" applyFill="1" applyBorder="1" applyAlignment="1">
      <alignment horizontal="center" vertical="top" wrapText="1"/>
    </xf>
    <xf numFmtId="0" fontId="46" fillId="5" borderId="33" xfId="12" applyFont="1" applyFill="1" applyBorder="1" applyAlignment="1">
      <alignment horizontal="center" vertical="top" wrapText="1"/>
    </xf>
    <xf numFmtId="0" fontId="46" fillId="5" borderId="32" xfId="12" applyFont="1" applyFill="1" applyBorder="1" applyAlignment="1">
      <alignment horizontal="center" vertical="top" wrapText="1"/>
    </xf>
    <xf numFmtId="0" fontId="36" fillId="0" borderId="0" xfId="12" applyFont="1" applyAlignment="1">
      <alignment horizontal="left" vertical="top" wrapText="1"/>
    </xf>
    <xf numFmtId="0" fontId="46" fillId="0" borderId="0" xfId="12" applyFont="1" applyAlignment="1">
      <alignment horizontal="left" vertical="top" wrapText="1"/>
    </xf>
    <xf numFmtId="0" fontId="45" fillId="0" borderId="0" xfId="12" applyFont="1" applyAlignment="1">
      <alignment horizontal="right" vertical="top" wrapText="1" indent="4"/>
    </xf>
    <xf numFmtId="49" fontId="44" fillId="6" borderId="3" xfId="0" applyNumberFormat="1" applyFont="1" applyFill="1" applyBorder="1" applyAlignment="1">
      <alignment horizontal="center" vertical="center"/>
    </xf>
    <xf numFmtId="49" fontId="24" fillId="6" borderId="4" xfId="0" applyNumberFormat="1" applyFont="1" applyFill="1" applyBorder="1" applyAlignment="1">
      <alignment horizontal="center" vertical="center"/>
    </xf>
    <xf numFmtId="49" fontId="24" fillId="6" borderId="7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49" fontId="6" fillId="12" borderId="21" xfId="0" applyNumberFormat="1" applyFont="1" applyFill="1" applyBorder="1" applyAlignment="1">
      <alignment horizontal="center" vertical="center"/>
    </xf>
    <xf numFmtId="49" fontId="6" fillId="12" borderId="22" xfId="0" applyNumberFormat="1" applyFont="1" applyFill="1" applyBorder="1" applyAlignment="1">
      <alignment horizontal="center" vertical="center"/>
    </xf>
  </cellXfs>
  <cellStyles count="15">
    <cellStyle name="Milliers" xfId="2" builtinId="3"/>
    <cellStyle name="Milliers 2" xfId="5" xr:uid="{648974AF-A814-4527-91AA-7D813ABDF06E}"/>
    <cellStyle name="Milliers 2 2" xfId="13" xr:uid="{4EF352C4-2941-4D1D-B048-92FCD3F37585}"/>
    <cellStyle name="Milliers 2 3" xfId="14" xr:uid="{4221E62E-0B54-48F6-8338-074E1EAF9E7B}"/>
    <cellStyle name="Milliers 3" xfId="8" xr:uid="{ED699584-654A-48B4-AE6C-A009A9783F1D}"/>
    <cellStyle name="Milliers 4" xfId="11" xr:uid="{654A5D46-0CA0-46E1-8835-A21EEE461B76}"/>
    <cellStyle name="Normal" xfId="0" builtinId="0"/>
    <cellStyle name="Normal 2" xfId="1" xr:uid="{00000000-0005-0000-0000-000001000000}"/>
    <cellStyle name="Normal 2 2" xfId="12" xr:uid="{8179E05E-5437-44EC-AC57-7A15013F8D49}"/>
    <cellStyle name="Normal 3" xfId="4" xr:uid="{CBD1F6BD-AC68-49B0-90C7-33BA901D2C8D}"/>
    <cellStyle name="Normal 4" xfId="6" xr:uid="{348FDBAB-B8DD-4F53-BCA2-97BE812E9A3C}"/>
    <cellStyle name="Normal 4 2" xfId="9" xr:uid="{BE93DCFC-D12B-4544-AD9A-AA0E09A5AA1B}"/>
    <cellStyle name="Normal 5" xfId="10" xr:uid="{06BE30CD-17A2-4E9A-BFD0-00452F81EA6A}"/>
    <cellStyle name="Pourcentage" xfId="3" builtinId="5"/>
    <cellStyle name="Pourcentage 2" xfId="7" xr:uid="{2858F958-7E18-4ADA-8926-E7B03302AAAA}"/>
  </cellStyles>
  <dxfs count="0"/>
  <tableStyles count="0" defaultTableStyle="TableStyleMedium9" defaultPivotStyle="PivotStyleLight16"/>
  <colors>
    <mruColors>
      <color rgb="FFFF33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microsoft.com/office/2017/10/relationships/person" Target="persons/perso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2257779</xdr:colOff>
      <xdr:row>1</xdr:row>
      <xdr:rowOff>14111</xdr:rowOff>
    </xdr:from>
    <xdr:ext cx="1672166" cy="672198"/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28A5A4D2-8884-45BB-A957-EB4E62FDF4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79879" y="198261"/>
          <a:ext cx="1672166" cy="672198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2529840</xdr:colOff>
      <xdr:row>0</xdr:row>
      <xdr:rowOff>167640</xdr:rowOff>
    </xdr:from>
    <xdr:to>
      <xdr:col>2</xdr:col>
      <xdr:colOff>111125</xdr:colOff>
      <xdr:row>2</xdr:row>
      <xdr:rowOff>243840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8A3433A-C486-4D14-9154-C76C286FBB6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15640" y="167640"/>
          <a:ext cx="1913255" cy="8001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1836420</xdr:colOff>
      <xdr:row>0</xdr:row>
      <xdr:rowOff>198120</xdr:rowOff>
    </xdr:from>
    <xdr:to>
      <xdr:col>2</xdr:col>
      <xdr:colOff>92075</xdr:colOff>
      <xdr:row>0</xdr:row>
      <xdr:rowOff>998220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7C39F4E-842F-43CB-BD9A-49DF6544DC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8900" y="198120"/>
          <a:ext cx="1913255" cy="80010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97028</xdr:colOff>
      <xdr:row>0</xdr:row>
      <xdr:rowOff>0</xdr:rowOff>
    </xdr:from>
    <xdr:ext cx="6606540" cy="10795"/>
    <xdr:sp macro="" textlink="">
      <xdr:nvSpPr>
        <xdr:cNvPr id="2" name="Shape 2">
          <a:extLst>
            <a:ext uri="{FF2B5EF4-FFF2-40B4-BE49-F238E27FC236}">
              <a16:creationId xmlns:a16="http://schemas.microsoft.com/office/drawing/2014/main" id="{B1F4506B-6E8C-41B1-BF50-CCF9E91F2FF9}"/>
            </a:ext>
          </a:extLst>
        </xdr:cNvPr>
        <xdr:cNvSpPr/>
      </xdr:nvSpPr>
      <xdr:spPr>
        <a:xfrm>
          <a:off x="655828" y="0"/>
          <a:ext cx="6606540" cy="10795"/>
        </a:xfrm>
        <a:custGeom>
          <a:avLst/>
          <a:gdLst/>
          <a:ahLst/>
          <a:cxnLst/>
          <a:rect l="0" t="0" r="0" b="0"/>
          <a:pathLst>
            <a:path w="6606540" h="10795">
              <a:moveTo>
                <a:pt x="6606539" y="0"/>
              </a:moveTo>
              <a:lnTo>
                <a:pt x="0" y="0"/>
              </a:lnTo>
              <a:lnTo>
                <a:pt x="0" y="10667"/>
              </a:lnTo>
              <a:lnTo>
                <a:pt x="6606539" y="10667"/>
              </a:lnTo>
              <a:lnTo>
                <a:pt x="6606539" y="0"/>
              </a:lnTo>
              <a:close/>
            </a:path>
          </a:pathLst>
        </a:custGeom>
        <a:solidFill>
          <a:srgbClr val="000000">
            <a:alpha val="50000"/>
          </a:srgbClr>
        </a:solidFill>
      </xdr:spPr>
    </xdr:sp>
    <xdr:clientData/>
  </xdr:oneCellAnchor>
</xdr:wsDr>
</file>

<file path=xl/drawings/drawing5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2238375</xdr:colOff>
      <xdr:row>0</xdr:row>
      <xdr:rowOff>161925</xdr:rowOff>
    </xdr:from>
    <xdr:ext cx="1558290" cy="670560"/>
    <xdr:pic>
      <xdr:nvPicPr>
        <xdr:cNvPr id="2" name="Image 1" descr="A picture containing text, clipart&#10;&#10;Description automatically generated">
          <a:extLst>
            <a:ext uri="{FF2B5EF4-FFF2-40B4-BE49-F238E27FC236}">
              <a16:creationId xmlns:a16="http://schemas.microsoft.com/office/drawing/2014/main" id="{5079EA67-6270-43E6-AC16-5127AAE643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7025" y="161925"/>
          <a:ext cx="1558290" cy="67056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2116666</xdr:colOff>
      <xdr:row>0</xdr:row>
      <xdr:rowOff>256155</xdr:rowOff>
    </xdr:from>
    <xdr:to>
      <xdr:col>0</xdr:col>
      <xdr:colOff>3831167</xdr:colOff>
      <xdr:row>0</xdr:row>
      <xdr:rowOff>973138</xdr:rowOff>
    </xdr:to>
    <xdr:pic>
      <xdr:nvPicPr>
        <xdr:cNvPr id="2" name="Picture 8" descr="A picture containing text, clipart&#10;&#10;Description automatically generated">
          <a:extLst>
            <a:ext uri="{FF2B5EF4-FFF2-40B4-BE49-F238E27FC236}">
              <a16:creationId xmlns:a16="http://schemas.microsoft.com/office/drawing/2014/main" id="{0C660D8F-0346-4D41-A1C8-E215B90B99D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6666" y="256155"/>
          <a:ext cx="1714501" cy="716983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CA4E38-14B6-428E-82D2-A4A8809A128C}">
  <dimension ref="A2:G395"/>
  <sheetViews>
    <sheetView showGridLines="0" view="pageBreakPreview" topLeftCell="A306" zoomScale="90" zoomScaleNormal="100" zoomScaleSheetLayoutView="90" workbookViewId="0">
      <selection activeCell="B325" sqref="B325"/>
    </sheetView>
  </sheetViews>
  <sheetFormatPr baseColWidth="10" defaultColWidth="9.21875" defaultRowHeight="13.2"/>
  <cols>
    <col min="1" max="1" width="10.44140625" style="300" customWidth="1"/>
    <col min="2" max="2" width="68.33203125" style="300" customWidth="1"/>
    <col min="3" max="3" width="7.88671875" style="302" customWidth="1"/>
    <col min="4" max="4" width="9.33203125" style="301" customWidth="1"/>
    <col min="5" max="5" width="12.5546875" style="302" customWidth="1"/>
    <col min="6" max="6" width="14.44140625" style="302" customWidth="1"/>
    <col min="7" max="7" width="5.77734375" style="300" customWidth="1"/>
    <col min="8" max="9" width="9.21875" style="300"/>
    <col min="10" max="10" width="10" style="300" bestFit="1" customWidth="1"/>
    <col min="11" max="16384" width="9.21875" style="300"/>
  </cols>
  <sheetData>
    <row r="2" spans="1:7" ht="64.95" customHeight="1" thickBot="1"/>
    <row r="3" spans="1:7" ht="51.45" customHeight="1" thickBot="1">
      <c r="A3" s="521" t="s">
        <v>643</v>
      </c>
      <c r="B3" s="522"/>
      <c r="C3" s="522"/>
      <c r="D3" s="522"/>
      <c r="E3" s="522"/>
      <c r="F3" s="523"/>
    </row>
    <row r="4" spans="1:7" ht="13.05" customHeight="1" thickBot="1"/>
    <row r="5" spans="1:7" s="4" customFormat="1" ht="22.95" customHeight="1" thickBot="1">
      <c r="B5" s="524" t="s">
        <v>642</v>
      </c>
      <c r="C5" s="525"/>
      <c r="D5" s="525"/>
      <c r="E5" s="526"/>
      <c r="F5" s="459"/>
    </row>
    <row r="6" spans="1:7" s="4" customFormat="1" ht="13.2" customHeight="1" thickBot="1">
      <c r="B6" s="7"/>
      <c r="C6" s="458"/>
      <c r="D6" s="457"/>
      <c r="E6" s="456"/>
      <c r="F6" s="456"/>
    </row>
    <row r="7" spans="1:7" s="10" customFormat="1" ht="33" customHeight="1" thickBot="1">
      <c r="A7" s="480" t="s">
        <v>400</v>
      </c>
      <c r="B7" s="479" t="s">
        <v>70</v>
      </c>
      <c r="C7" s="476" t="s">
        <v>75</v>
      </c>
      <c r="D7" s="478" t="s">
        <v>76</v>
      </c>
      <c r="E7" s="477" t="s">
        <v>77</v>
      </c>
      <c r="F7" s="476" t="s">
        <v>78</v>
      </c>
      <c r="G7" s="452"/>
    </row>
    <row r="8" spans="1:7" s="4" customFormat="1" ht="15.6">
      <c r="A8" s="451">
        <v>1</v>
      </c>
      <c r="B8" s="11" t="s">
        <v>401</v>
      </c>
      <c r="C8" s="417"/>
      <c r="D8" s="428"/>
      <c r="E8" s="415"/>
      <c r="F8" s="427"/>
    </row>
    <row r="9" spans="1:7" s="4" customFormat="1" ht="15.6">
      <c r="A9" s="14"/>
      <c r="B9" s="11" t="s">
        <v>574</v>
      </c>
      <c r="C9" s="417"/>
      <c r="D9" s="416"/>
      <c r="E9" s="415"/>
      <c r="F9" s="415"/>
    </row>
    <row r="10" spans="1:7" s="4" customFormat="1" ht="15.6" thickBot="1">
      <c r="A10" s="15" t="s">
        <v>5</v>
      </c>
      <c r="B10" s="16" t="s">
        <v>402</v>
      </c>
      <c r="C10" s="417" t="s">
        <v>403</v>
      </c>
      <c r="D10" s="416">
        <v>1</v>
      </c>
      <c r="E10" s="442"/>
      <c r="F10" s="415">
        <f>D10*E10</f>
        <v>0</v>
      </c>
    </row>
    <row r="11" spans="1:7" s="4" customFormat="1" ht="16.2" thickBot="1">
      <c r="A11" s="52"/>
      <c r="B11" s="53" t="s">
        <v>404</v>
      </c>
      <c r="C11" s="465"/>
      <c r="D11" s="466"/>
      <c r="E11" s="475"/>
      <c r="F11" s="469">
        <f>F10</f>
        <v>0</v>
      </c>
    </row>
    <row r="12" spans="1:7" s="4" customFormat="1" ht="15.6">
      <c r="A12" s="14">
        <v>2</v>
      </c>
      <c r="B12" s="21" t="s">
        <v>405</v>
      </c>
      <c r="C12" s="436"/>
      <c r="D12" s="422"/>
      <c r="E12" s="421"/>
      <c r="F12" s="415"/>
    </row>
    <row r="13" spans="1:7" s="4" customFormat="1" ht="15">
      <c r="A13" s="15" t="s">
        <v>79</v>
      </c>
      <c r="B13" s="16" t="s">
        <v>80</v>
      </c>
      <c r="C13" s="417"/>
      <c r="D13" s="416"/>
      <c r="E13" s="415"/>
      <c r="F13" s="415"/>
    </row>
    <row r="14" spans="1:7" s="4" customFormat="1" ht="15">
      <c r="A14" s="15" t="s">
        <v>81</v>
      </c>
      <c r="B14" s="16" t="s">
        <v>406</v>
      </c>
      <c r="C14" s="417" t="s">
        <v>10</v>
      </c>
      <c r="D14" s="416">
        <f>34*0.5*0.4</f>
        <v>6.8000000000000007</v>
      </c>
      <c r="E14" s="415"/>
      <c r="F14" s="415">
        <f>D14*E14</f>
        <v>0</v>
      </c>
    </row>
    <row r="15" spans="1:7" s="4" customFormat="1" ht="17.399999999999999" customHeight="1">
      <c r="A15" s="15" t="s">
        <v>82</v>
      </c>
      <c r="B15" s="16" t="s">
        <v>83</v>
      </c>
      <c r="C15" s="417" t="s">
        <v>10</v>
      </c>
      <c r="D15" s="416">
        <f>34*0.45*0.35</f>
        <v>5.3549999999999995</v>
      </c>
      <c r="E15" s="415"/>
      <c r="F15" s="415">
        <f>D15*E15</f>
        <v>0</v>
      </c>
    </row>
    <row r="16" spans="1:7" s="4" customFormat="1" ht="17.399999999999999" customHeight="1" thickBot="1">
      <c r="A16" s="15" t="s">
        <v>84</v>
      </c>
      <c r="B16" s="16" t="s">
        <v>85</v>
      </c>
      <c r="C16" s="417" t="s">
        <v>10</v>
      </c>
      <c r="D16" s="416">
        <f>34*2*0.44</f>
        <v>29.92</v>
      </c>
      <c r="E16" s="415"/>
      <c r="F16" s="415">
        <f>D16*E16</f>
        <v>0</v>
      </c>
    </row>
    <row r="17" spans="1:6" s="4" customFormat="1" ht="17.399999999999999" customHeight="1" thickBot="1">
      <c r="A17" s="18"/>
      <c r="B17" s="445" t="s">
        <v>407</v>
      </c>
      <c r="C17" s="411"/>
      <c r="D17" s="412"/>
      <c r="E17" s="424"/>
      <c r="F17" s="424">
        <f>SUM(F14:F16)</f>
        <v>0</v>
      </c>
    </row>
    <row r="18" spans="1:6" s="4" customFormat="1" ht="17.399999999999999" customHeight="1">
      <c r="A18" s="24" t="s">
        <v>16</v>
      </c>
      <c r="B18" s="449" t="s">
        <v>292</v>
      </c>
      <c r="C18" s="423"/>
      <c r="D18" s="428"/>
      <c r="E18" s="427"/>
      <c r="F18" s="415"/>
    </row>
    <row r="19" spans="1:6" s="4" customFormat="1" ht="17.399999999999999" customHeight="1">
      <c r="A19" s="26" t="s">
        <v>17</v>
      </c>
      <c r="B19" s="27" t="s">
        <v>408</v>
      </c>
      <c r="C19" s="417"/>
      <c r="D19" s="416"/>
      <c r="E19" s="415"/>
      <c r="F19" s="415"/>
    </row>
    <row r="20" spans="1:6" s="4" customFormat="1" ht="17.399999999999999" customHeight="1">
      <c r="A20" s="28" t="s">
        <v>86</v>
      </c>
      <c r="B20" s="29" t="s">
        <v>87</v>
      </c>
      <c r="C20" s="417" t="s">
        <v>10</v>
      </c>
      <c r="D20" s="416">
        <f>34*0.05*0.6</f>
        <v>1.02</v>
      </c>
      <c r="E20" s="415"/>
      <c r="F20" s="415">
        <f>D20*E20</f>
        <v>0</v>
      </c>
    </row>
    <row r="21" spans="1:6" s="4" customFormat="1" ht="17.399999999999999" customHeight="1">
      <c r="A21" s="28" t="s">
        <v>88</v>
      </c>
      <c r="B21" s="29" t="s">
        <v>575</v>
      </c>
      <c r="C21" s="417"/>
      <c r="D21" s="416"/>
      <c r="E21" s="415"/>
      <c r="F21" s="415"/>
    </row>
    <row r="22" spans="1:6" s="4" customFormat="1" ht="17.399999999999999" customHeight="1">
      <c r="A22" s="28" t="s">
        <v>190</v>
      </c>
      <c r="B22" s="29" t="s">
        <v>20</v>
      </c>
      <c r="C22" s="417" t="s">
        <v>10</v>
      </c>
      <c r="D22" s="416">
        <f>34*0.15*0.6</f>
        <v>3.0599999999999996</v>
      </c>
      <c r="E22" s="415"/>
      <c r="F22" s="415">
        <f>D22*E22</f>
        <v>0</v>
      </c>
    </row>
    <row r="23" spans="1:6" s="4" customFormat="1" ht="17.399999999999999" customHeight="1">
      <c r="A23" s="28" t="s">
        <v>410</v>
      </c>
      <c r="B23" s="29" t="s">
        <v>411</v>
      </c>
      <c r="C23" s="417" t="s">
        <v>23</v>
      </c>
      <c r="D23" s="416">
        <f>D22*40</f>
        <v>122.39999999999998</v>
      </c>
      <c r="E23" s="415"/>
      <c r="F23" s="415">
        <f>D23*E23</f>
        <v>0</v>
      </c>
    </row>
    <row r="24" spans="1:6" s="4" customFormat="1" ht="17.399999999999999" customHeight="1">
      <c r="A24" s="28" t="s">
        <v>412</v>
      </c>
      <c r="B24" s="29" t="s">
        <v>413</v>
      </c>
      <c r="C24" s="417" t="s">
        <v>4</v>
      </c>
      <c r="D24" s="416">
        <v>0</v>
      </c>
      <c r="E24" s="415"/>
      <c r="F24" s="415">
        <f>D24*E24</f>
        <v>0</v>
      </c>
    </row>
    <row r="25" spans="1:6" s="4" customFormat="1" ht="17.399999999999999" customHeight="1">
      <c r="A25" s="28" t="s">
        <v>89</v>
      </c>
      <c r="B25" s="29" t="s">
        <v>576</v>
      </c>
      <c r="C25" s="417"/>
      <c r="D25" s="416"/>
      <c r="E25" s="415"/>
      <c r="F25" s="415"/>
    </row>
    <row r="26" spans="1:6" s="4" customFormat="1" ht="17.399999999999999" customHeight="1">
      <c r="A26" s="28" t="s">
        <v>193</v>
      </c>
      <c r="B26" s="29" t="s">
        <v>20</v>
      </c>
      <c r="C26" s="417" t="s">
        <v>10</v>
      </c>
      <c r="D26" s="416">
        <f>10*0.6*0.2*0.15</f>
        <v>0.18000000000000002</v>
      </c>
      <c r="E26" s="415"/>
      <c r="F26" s="415">
        <f>D26*E26</f>
        <v>0</v>
      </c>
    </row>
    <row r="27" spans="1:6" s="4" customFormat="1" ht="17.399999999999999" customHeight="1">
      <c r="A27" s="28" t="s">
        <v>191</v>
      </c>
      <c r="B27" s="29" t="s">
        <v>351</v>
      </c>
      <c r="C27" s="417" t="s">
        <v>23</v>
      </c>
      <c r="D27" s="416">
        <f>D26*80</f>
        <v>14.400000000000002</v>
      </c>
      <c r="E27" s="415"/>
      <c r="F27" s="415">
        <f>D27*E27</f>
        <v>0</v>
      </c>
    </row>
    <row r="28" spans="1:6" s="4" customFormat="1" ht="17.399999999999999" customHeight="1">
      <c r="A28" s="28" t="s">
        <v>194</v>
      </c>
      <c r="B28" s="29" t="s">
        <v>21</v>
      </c>
      <c r="C28" s="417" t="s">
        <v>4</v>
      </c>
      <c r="D28" s="416">
        <f>D26*12</f>
        <v>2.16</v>
      </c>
      <c r="E28" s="415"/>
      <c r="F28" s="415">
        <f>D28*E28</f>
        <v>0</v>
      </c>
    </row>
    <row r="29" spans="1:6" s="4" customFormat="1" ht="17.399999999999999" customHeight="1">
      <c r="A29" s="28" t="s">
        <v>90</v>
      </c>
      <c r="B29" s="29" t="s">
        <v>415</v>
      </c>
      <c r="C29" s="417"/>
      <c r="D29" s="416"/>
      <c r="E29" s="415"/>
      <c r="F29" s="415"/>
    </row>
    <row r="30" spans="1:6" s="4" customFormat="1" ht="17.399999999999999" customHeight="1">
      <c r="A30" s="28" t="s">
        <v>196</v>
      </c>
      <c r="B30" s="29" t="s">
        <v>20</v>
      </c>
      <c r="C30" s="417" t="s">
        <v>10</v>
      </c>
      <c r="D30" s="416">
        <f>34*0.2*0.15</f>
        <v>1.02</v>
      </c>
      <c r="E30" s="415"/>
      <c r="F30" s="415">
        <f>D30*E30</f>
        <v>0</v>
      </c>
    </row>
    <row r="31" spans="1:6" s="4" customFormat="1" ht="15">
      <c r="A31" s="28" t="s">
        <v>197</v>
      </c>
      <c r="B31" s="29" t="s">
        <v>22</v>
      </c>
      <c r="C31" s="417" t="s">
        <v>23</v>
      </c>
      <c r="D31" s="416">
        <f>D30*80</f>
        <v>81.599999999999994</v>
      </c>
      <c r="E31" s="415"/>
      <c r="F31" s="415">
        <f>D31*E31</f>
        <v>0</v>
      </c>
    </row>
    <row r="32" spans="1:6" s="4" customFormat="1" ht="15">
      <c r="A32" s="28" t="s">
        <v>198</v>
      </c>
      <c r="B32" s="29" t="s">
        <v>21</v>
      </c>
      <c r="C32" s="417" t="s">
        <v>4</v>
      </c>
      <c r="D32" s="416">
        <f>D30*12</f>
        <v>12.24</v>
      </c>
      <c r="E32" s="415"/>
      <c r="F32" s="415">
        <f>D32*E32</f>
        <v>0</v>
      </c>
    </row>
    <row r="33" spans="1:7" s="4" customFormat="1" ht="15">
      <c r="A33" s="28" t="s">
        <v>91</v>
      </c>
      <c r="B33" s="29" t="s">
        <v>416</v>
      </c>
      <c r="C33" s="417" t="s">
        <v>4</v>
      </c>
      <c r="D33" s="416">
        <f>34*0.66</f>
        <v>22.44</v>
      </c>
      <c r="E33" s="415"/>
      <c r="F33" s="415">
        <f>D33*E33</f>
        <v>0</v>
      </c>
    </row>
    <row r="34" spans="1:7" s="30" customFormat="1" ht="15">
      <c r="A34" s="28" t="s">
        <v>92</v>
      </c>
      <c r="B34" s="29" t="s">
        <v>359</v>
      </c>
      <c r="C34" s="417"/>
      <c r="D34" s="416"/>
      <c r="E34" s="415"/>
      <c r="F34" s="415"/>
      <c r="G34" s="4"/>
    </row>
    <row r="35" spans="1:7" s="30" customFormat="1" ht="15">
      <c r="A35" s="28" t="s">
        <v>201</v>
      </c>
      <c r="B35" s="31" t="s">
        <v>418</v>
      </c>
      <c r="C35" s="417" t="s">
        <v>4</v>
      </c>
      <c r="D35" s="416">
        <f>32*8</f>
        <v>256</v>
      </c>
      <c r="E35" s="415"/>
      <c r="F35" s="415">
        <f>D35*E35</f>
        <v>0</v>
      </c>
      <c r="G35" s="4"/>
    </row>
    <row r="36" spans="1:7" s="4" customFormat="1" ht="15">
      <c r="A36" s="28" t="s">
        <v>419</v>
      </c>
      <c r="B36" s="31" t="s">
        <v>577</v>
      </c>
      <c r="C36" s="447" t="s">
        <v>10</v>
      </c>
      <c r="D36" s="443">
        <f>D35*0.1+32*2*0.1</f>
        <v>32</v>
      </c>
      <c r="E36" s="442"/>
      <c r="F36" s="415">
        <f>D36*E36</f>
        <v>0</v>
      </c>
    </row>
    <row r="37" spans="1:7" s="4" customFormat="1" ht="15">
      <c r="A37" s="28" t="s">
        <v>421</v>
      </c>
      <c r="B37" s="29" t="s">
        <v>578</v>
      </c>
      <c r="C37" s="417" t="s">
        <v>23</v>
      </c>
      <c r="D37" s="416">
        <f>D35*3</f>
        <v>768</v>
      </c>
      <c r="E37" s="415"/>
      <c r="F37" s="415">
        <f>D37*E37</f>
        <v>0</v>
      </c>
    </row>
    <row r="38" spans="1:7" s="4" customFormat="1" ht="15">
      <c r="A38" s="28" t="s">
        <v>423</v>
      </c>
      <c r="B38" s="29" t="s">
        <v>93</v>
      </c>
      <c r="C38" s="417" t="s">
        <v>4</v>
      </c>
      <c r="D38" s="416">
        <f>D35</f>
        <v>256</v>
      </c>
      <c r="E38" s="415"/>
      <c r="F38" s="415">
        <f>D38*E38</f>
        <v>0</v>
      </c>
    </row>
    <row r="39" spans="1:7" s="4" customFormat="1" ht="15.6">
      <c r="A39" s="28" t="s">
        <v>94</v>
      </c>
      <c r="B39" s="42" t="s">
        <v>95</v>
      </c>
      <c r="C39" s="417"/>
      <c r="D39" s="417"/>
      <c r="E39" s="415"/>
      <c r="F39" s="415"/>
    </row>
    <row r="40" spans="1:7" s="4" customFormat="1" ht="45">
      <c r="A40" s="28" t="s">
        <v>424</v>
      </c>
      <c r="B40" s="34" t="s">
        <v>425</v>
      </c>
      <c r="C40" s="417" t="s">
        <v>4</v>
      </c>
      <c r="D40" s="417">
        <f>32*0.44*2</f>
        <v>28.16</v>
      </c>
      <c r="E40" s="415"/>
      <c r="F40" s="415">
        <f>D40*E40</f>
        <v>0</v>
      </c>
    </row>
    <row r="41" spans="1:7" s="4" customFormat="1" ht="15">
      <c r="A41" s="28" t="s">
        <v>426</v>
      </c>
      <c r="B41" s="31" t="s">
        <v>96</v>
      </c>
      <c r="C41" s="417" t="s">
        <v>10</v>
      </c>
      <c r="D41" s="417">
        <f>32*0.4*0.4</f>
        <v>5.120000000000001</v>
      </c>
      <c r="E41" s="415"/>
      <c r="F41" s="415">
        <f>D41*E41</f>
        <v>0</v>
      </c>
    </row>
    <row r="42" spans="1:7" s="4" customFormat="1" ht="15">
      <c r="A42" s="28" t="s">
        <v>427</v>
      </c>
      <c r="B42" s="31" t="s">
        <v>97</v>
      </c>
      <c r="C42" s="417" t="s">
        <v>10</v>
      </c>
      <c r="D42" s="417">
        <f>32*0.4*0.1</f>
        <v>1.2800000000000002</v>
      </c>
      <c r="E42" s="415"/>
      <c r="F42" s="415">
        <f>D42*E42</f>
        <v>0</v>
      </c>
    </row>
    <row r="43" spans="1:7" s="4" customFormat="1" ht="15.6">
      <c r="A43" s="28" t="s">
        <v>94</v>
      </c>
      <c r="B43" s="42" t="s">
        <v>428</v>
      </c>
      <c r="C43" s="417"/>
      <c r="D43" s="417"/>
      <c r="E43" s="415"/>
      <c r="F43" s="415"/>
    </row>
    <row r="44" spans="1:7" s="4" customFormat="1" ht="45">
      <c r="A44" s="28" t="s">
        <v>424</v>
      </c>
      <c r="B44" s="34" t="s">
        <v>429</v>
      </c>
      <c r="C44" s="417" t="s">
        <v>4</v>
      </c>
      <c r="D44" s="417">
        <f>32*1.5</f>
        <v>48</v>
      </c>
      <c r="E44" s="415"/>
      <c r="F44" s="415">
        <f>D44*E44</f>
        <v>0</v>
      </c>
    </row>
    <row r="45" spans="1:7" s="4" customFormat="1" ht="21.6" customHeight="1">
      <c r="A45" s="26" t="s">
        <v>24</v>
      </c>
      <c r="B45" s="27" t="s">
        <v>430</v>
      </c>
      <c r="C45" s="436"/>
      <c r="D45" s="416"/>
      <c r="E45" s="418"/>
      <c r="F45" s="415"/>
    </row>
    <row r="46" spans="1:7" s="4" customFormat="1" ht="15">
      <c r="A46" s="28" t="s">
        <v>373</v>
      </c>
      <c r="B46" s="29" t="s">
        <v>434</v>
      </c>
      <c r="C46" s="417" t="s">
        <v>4</v>
      </c>
      <c r="D46" s="416">
        <f>30*3*0.15</f>
        <v>13.5</v>
      </c>
      <c r="E46" s="415"/>
      <c r="F46" s="415">
        <f>D46*E46</f>
        <v>0</v>
      </c>
    </row>
    <row r="47" spans="1:7" s="4" customFormat="1" ht="15">
      <c r="A47" s="28" t="s">
        <v>373</v>
      </c>
      <c r="B47" s="29" t="s">
        <v>579</v>
      </c>
      <c r="C47" s="417" t="s">
        <v>4</v>
      </c>
      <c r="D47" s="416">
        <f>(2*10*0.66+3*8*0.66)*0</f>
        <v>0</v>
      </c>
      <c r="E47" s="415"/>
      <c r="F47" s="415">
        <f>D47*E47</f>
        <v>0</v>
      </c>
    </row>
    <row r="48" spans="1:7" s="4" customFormat="1" ht="15">
      <c r="A48" s="28" t="s">
        <v>26</v>
      </c>
      <c r="B48" s="29" t="s">
        <v>580</v>
      </c>
      <c r="C48" s="417" t="s">
        <v>4</v>
      </c>
      <c r="D48" s="416">
        <f>(32*3*0.44+10*2*0.44+5*8*0.44)</f>
        <v>68.640000000000015</v>
      </c>
      <c r="E48" s="415"/>
      <c r="F48" s="415">
        <f>D48*E48</f>
        <v>0</v>
      </c>
    </row>
    <row r="49" spans="1:6" s="4" customFormat="1" ht="15">
      <c r="A49" s="28" t="s">
        <v>26</v>
      </c>
      <c r="B49" s="29" t="s">
        <v>433</v>
      </c>
      <c r="C49" s="417" t="s">
        <v>182</v>
      </c>
      <c r="D49" s="416">
        <v>1</v>
      </c>
      <c r="E49" s="415"/>
      <c r="F49" s="415">
        <f>D49*E49</f>
        <v>0</v>
      </c>
    </row>
    <row r="50" spans="1:6" s="4" customFormat="1" ht="15">
      <c r="A50" s="28" t="s">
        <v>373</v>
      </c>
      <c r="B50" s="29" t="s">
        <v>581</v>
      </c>
      <c r="C50" s="417" t="s">
        <v>4</v>
      </c>
      <c r="D50" s="416">
        <v>0</v>
      </c>
      <c r="E50" s="415"/>
      <c r="F50" s="415">
        <f>D50*E50</f>
        <v>0</v>
      </c>
    </row>
    <row r="51" spans="1:6" s="4" customFormat="1" ht="15">
      <c r="A51" s="28" t="s">
        <v>374</v>
      </c>
      <c r="B51" s="29" t="s">
        <v>644</v>
      </c>
      <c r="C51" s="417"/>
      <c r="D51" s="416"/>
      <c r="E51" s="415"/>
      <c r="F51" s="415"/>
    </row>
    <row r="52" spans="1:6" s="4" customFormat="1" ht="15">
      <c r="A52" s="28" t="s">
        <v>435</v>
      </c>
      <c r="B52" s="29" t="s">
        <v>20</v>
      </c>
      <c r="C52" s="417" t="s">
        <v>10</v>
      </c>
      <c r="D52" s="416">
        <f>20*0.15*0.15+D46*0.2</f>
        <v>3.1500000000000004</v>
      </c>
      <c r="E52" s="415"/>
      <c r="F52" s="415">
        <f>D52*E52</f>
        <v>0</v>
      </c>
    </row>
    <row r="53" spans="1:6" s="4" customFormat="1" ht="15">
      <c r="A53" s="28" t="s">
        <v>436</v>
      </c>
      <c r="B53" s="29" t="s">
        <v>22</v>
      </c>
      <c r="C53" s="417" t="s">
        <v>23</v>
      </c>
      <c r="D53" s="416">
        <f>D52*80</f>
        <v>252.00000000000003</v>
      </c>
      <c r="E53" s="415"/>
      <c r="F53" s="415">
        <f>D53*E53</f>
        <v>0</v>
      </c>
    </row>
    <row r="54" spans="1:6" s="4" customFormat="1" ht="15">
      <c r="A54" s="28" t="s">
        <v>437</v>
      </c>
      <c r="B54" s="29" t="s">
        <v>21</v>
      </c>
      <c r="C54" s="417" t="s">
        <v>4</v>
      </c>
      <c r="D54" s="416">
        <f>D52*12</f>
        <v>37.800000000000004</v>
      </c>
      <c r="E54" s="415"/>
      <c r="F54" s="415">
        <f>D54*E54</f>
        <v>0</v>
      </c>
    </row>
    <row r="55" spans="1:6" s="4" customFormat="1" ht="15">
      <c r="A55" s="28" t="s">
        <v>27</v>
      </c>
      <c r="B55" s="29" t="s">
        <v>645</v>
      </c>
      <c r="C55" s="417"/>
      <c r="D55" s="416"/>
      <c r="E55" s="415"/>
      <c r="F55" s="415"/>
    </row>
    <row r="56" spans="1:6" s="40" customFormat="1" ht="15">
      <c r="A56" s="86" t="s">
        <v>209</v>
      </c>
      <c r="B56" s="31" t="s">
        <v>20</v>
      </c>
      <c r="C56" s="447" t="s">
        <v>10</v>
      </c>
      <c r="D56" s="443">
        <f>34*0.15*0.2</f>
        <v>1.02</v>
      </c>
      <c r="E56" s="442"/>
      <c r="F56" s="442">
        <f t="shared" ref="F56:F62" si="0">D56*E56</f>
        <v>0</v>
      </c>
    </row>
    <row r="57" spans="1:6" s="4" customFormat="1" ht="15">
      <c r="A57" s="28" t="s">
        <v>210</v>
      </c>
      <c r="B57" s="29" t="s">
        <v>22</v>
      </c>
      <c r="C57" s="417" t="s">
        <v>23</v>
      </c>
      <c r="D57" s="416">
        <f>D56*80</f>
        <v>81.599999999999994</v>
      </c>
      <c r="E57" s="415"/>
      <c r="F57" s="415">
        <f t="shared" si="0"/>
        <v>0</v>
      </c>
    </row>
    <row r="58" spans="1:6" s="4" customFormat="1" ht="15">
      <c r="A58" s="28" t="s">
        <v>211</v>
      </c>
      <c r="B58" s="29" t="s">
        <v>100</v>
      </c>
      <c r="C58" s="417" t="s">
        <v>4</v>
      </c>
      <c r="D58" s="416">
        <f>D56*2</f>
        <v>2.04</v>
      </c>
      <c r="E58" s="415"/>
      <c r="F58" s="415">
        <f t="shared" si="0"/>
        <v>0</v>
      </c>
    </row>
    <row r="59" spans="1:6" s="4" customFormat="1" ht="15" hidden="1">
      <c r="A59" s="28" t="s">
        <v>101</v>
      </c>
      <c r="B59" s="29" t="s">
        <v>438</v>
      </c>
      <c r="C59" s="417"/>
      <c r="D59" s="416"/>
      <c r="E59" s="415"/>
      <c r="F59" s="415">
        <f t="shared" si="0"/>
        <v>0</v>
      </c>
    </row>
    <row r="60" spans="1:6" s="4" customFormat="1" ht="15" hidden="1">
      <c r="A60" s="28" t="s">
        <v>439</v>
      </c>
      <c r="B60" s="29" t="s">
        <v>20</v>
      </c>
      <c r="C60" s="417" t="s">
        <v>10</v>
      </c>
      <c r="D60" s="416">
        <v>0</v>
      </c>
      <c r="E60" s="415"/>
      <c r="F60" s="415">
        <f t="shared" si="0"/>
        <v>0</v>
      </c>
    </row>
    <row r="61" spans="1:6" s="4" customFormat="1" ht="15" hidden="1">
      <c r="A61" s="28" t="s">
        <v>440</v>
      </c>
      <c r="B61" s="29" t="s">
        <v>441</v>
      </c>
      <c r="C61" s="417" t="s">
        <v>23</v>
      </c>
      <c r="D61" s="416">
        <v>0</v>
      </c>
      <c r="E61" s="415"/>
      <c r="F61" s="415">
        <f t="shared" si="0"/>
        <v>0</v>
      </c>
    </row>
    <row r="62" spans="1:6" s="4" customFormat="1" ht="15" hidden="1">
      <c r="A62" s="28" t="s">
        <v>442</v>
      </c>
      <c r="B62" s="29" t="s">
        <v>100</v>
      </c>
      <c r="C62" s="417" t="s">
        <v>4</v>
      </c>
      <c r="D62" s="416">
        <v>0</v>
      </c>
      <c r="E62" s="415"/>
      <c r="F62" s="415">
        <f t="shared" si="0"/>
        <v>0</v>
      </c>
    </row>
    <row r="63" spans="1:6" s="4" customFormat="1" ht="15">
      <c r="A63" s="28" t="s">
        <v>28</v>
      </c>
      <c r="B63" s="29" t="s">
        <v>102</v>
      </c>
      <c r="C63" s="417"/>
      <c r="D63" s="416"/>
      <c r="E63" s="415"/>
      <c r="F63" s="415"/>
    </row>
    <row r="64" spans="1:6" s="4" customFormat="1" ht="15">
      <c r="A64" s="28"/>
      <c r="B64" s="29" t="s">
        <v>444</v>
      </c>
      <c r="C64" s="417"/>
      <c r="D64" s="416"/>
      <c r="E64" s="415"/>
      <c r="F64" s="415"/>
    </row>
    <row r="65" spans="1:6" s="4" customFormat="1" ht="15">
      <c r="A65" s="28" t="s">
        <v>445</v>
      </c>
      <c r="B65" s="29" t="s">
        <v>20</v>
      </c>
      <c r="C65" s="417" t="s">
        <v>10</v>
      </c>
      <c r="D65" s="416">
        <f>(12*2*0.1*0.15+10*3*0.1*0.15)</f>
        <v>0.81</v>
      </c>
      <c r="E65" s="415"/>
      <c r="F65" s="415">
        <f t="shared" ref="F65:F71" si="1">D65*E65</f>
        <v>0</v>
      </c>
    </row>
    <row r="66" spans="1:6" s="4" customFormat="1" ht="15">
      <c r="A66" s="28" t="s">
        <v>446</v>
      </c>
      <c r="B66" s="29" t="s">
        <v>22</v>
      </c>
      <c r="C66" s="417" t="s">
        <v>23</v>
      </c>
      <c r="D66" s="416">
        <f>D65*80</f>
        <v>64.800000000000011</v>
      </c>
      <c r="E66" s="415"/>
      <c r="F66" s="415">
        <f t="shared" si="1"/>
        <v>0</v>
      </c>
    </row>
    <row r="67" spans="1:6" s="4" customFormat="1" ht="15">
      <c r="A67" s="28" t="s">
        <v>447</v>
      </c>
      <c r="B67" s="29" t="s">
        <v>100</v>
      </c>
      <c r="C67" s="417" t="s">
        <v>4</v>
      </c>
      <c r="D67" s="416">
        <f>D65*2</f>
        <v>1.62</v>
      </c>
      <c r="E67" s="415"/>
      <c r="F67" s="415">
        <f t="shared" si="1"/>
        <v>0</v>
      </c>
    </row>
    <row r="68" spans="1:6" s="4" customFormat="1" ht="15" hidden="1">
      <c r="A68" s="28" t="s">
        <v>29</v>
      </c>
      <c r="B68" s="29" t="s">
        <v>448</v>
      </c>
      <c r="C68" s="417"/>
      <c r="D68" s="416"/>
      <c r="E68" s="415"/>
      <c r="F68" s="415">
        <f t="shared" si="1"/>
        <v>0</v>
      </c>
    </row>
    <row r="69" spans="1:6" s="4" customFormat="1" ht="15" hidden="1">
      <c r="A69" s="28" t="s">
        <v>213</v>
      </c>
      <c r="B69" s="29" t="s">
        <v>20</v>
      </c>
      <c r="C69" s="417" t="s">
        <v>10</v>
      </c>
      <c r="D69" s="416">
        <v>0</v>
      </c>
      <c r="E69" s="415"/>
      <c r="F69" s="415">
        <f t="shared" si="1"/>
        <v>0</v>
      </c>
    </row>
    <row r="70" spans="1:6" s="4" customFormat="1" ht="15" hidden="1">
      <c r="A70" s="28" t="s">
        <v>214</v>
      </c>
      <c r="B70" s="29" t="s">
        <v>22</v>
      </c>
      <c r="C70" s="417" t="s">
        <v>23</v>
      </c>
      <c r="D70" s="416">
        <v>0</v>
      </c>
      <c r="E70" s="415"/>
      <c r="F70" s="415">
        <f t="shared" si="1"/>
        <v>0</v>
      </c>
    </row>
    <row r="71" spans="1:6" s="4" customFormat="1" ht="15.6" hidden="1" thickBot="1">
      <c r="A71" s="35" t="s">
        <v>215</v>
      </c>
      <c r="B71" s="448" t="s">
        <v>100</v>
      </c>
      <c r="C71" s="439" t="s">
        <v>4</v>
      </c>
      <c r="D71" s="416">
        <v>0</v>
      </c>
      <c r="E71" s="415"/>
      <c r="F71" s="415">
        <f t="shared" si="1"/>
        <v>0</v>
      </c>
    </row>
    <row r="72" spans="1:6" s="4" customFormat="1" ht="15">
      <c r="A72" s="28" t="s">
        <v>216</v>
      </c>
      <c r="B72" s="29" t="s">
        <v>33</v>
      </c>
      <c r="C72" s="417"/>
      <c r="D72" s="416"/>
      <c r="E72" s="415"/>
      <c r="F72" s="415"/>
    </row>
    <row r="73" spans="1:6" s="4" customFormat="1" ht="15">
      <c r="A73" s="28" t="s">
        <v>217</v>
      </c>
      <c r="B73" s="29" t="s">
        <v>449</v>
      </c>
      <c r="C73" s="417" t="s">
        <v>4</v>
      </c>
      <c r="D73" s="416">
        <f>D48*2*1.1</f>
        <v>151.00800000000004</v>
      </c>
      <c r="E73" s="415"/>
      <c r="F73" s="415">
        <f>D73*E73</f>
        <v>0</v>
      </c>
    </row>
    <row r="74" spans="1:6" s="4" customFormat="1" ht="15">
      <c r="A74" s="28" t="s">
        <v>450</v>
      </c>
      <c r="B74" s="29" t="s">
        <v>451</v>
      </c>
      <c r="C74" s="417" t="s">
        <v>4</v>
      </c>
      <c r="D74" s="416">
        <f>(32*2+7*6)*3.2</f>
        <v>339.20000000000005</v>
      </c>
      <c r="E74" s="415"/>
      <c r="F74" s="415">
        <f>D74*E74</f>
        <v>0</v>
      </c>
    </row>
    <row r="75" spans="1:6" s="4" customFormat="1" ht="15">
      <c r="A75" s="28" t="s">
        <v>452</v>
      </c>
      <c r="B75" s="29" t="s">
        <v>103</v>
      </c>
      <c r="C75" s="417"/>
      <c r="D75" s="416"/>
      <c r="E75" s="415"/>
      <c r="F75" s="415"/>
    </row>
    <row r="76" spans="1:6" s="4" customFormat="1" ht="15">
      <c r="A76" s="28"/>
      <c r="B76" s="29" t="s">
        <v>453</v>
      </c>
      <c r="C76" s="417" t="s">
        <v>4</v>
      </c>
      <c r="D76" s="416">
        <f>4*3*1*1</f>
        <v>12</v>
      </c>
      <c r="E76" s="415"/>
      <c r="F76" s="415">
        <f>D76*E76</f>
        <v>0</v>
      </c>
    </row>
    <row r="77" spans="1:6" s="4" customFormat="1" ht="17.399999999999999">
      <c r="A77" s="28" t="s">
        <v>452</v>
      </c>
      <c r="B77" s="29" t="s">
        <v>454</v>
      </c>
      <c r="C77" s="417" t="s">
        <v>104</v>
      </c>
      <c r="D77" s="416">
        <f>4*3*2.5*1.2</f>
        <v>36</v>
      </c>
      <c r="E77" s="415"/>
      <c r="F77" s="415">
        <f>D77*E77</f>
        <v>0</v>
      </c>
    </row>
    <row r="78" spans="1:6" s="4" customFormat="1" ht="15.6">
      <c r="A78" s="26" t="s">
        <v>6</v>
      </c>
      <c r="B78" s="27" t="s">
        <v>34</v>
      </c>
      <c r="C78" s="417"/>
      <c r="D78" s="416"/>
      <c r="E78" s="415"/>
      <c r="F78" s="415"/>
    </row>
    <row r="79" spans="1:6" s="4" customFormat="1" ht="15">
      <c r="A79" s="28" t="s">
        <v>221</v>
      </c>
      <c r="B79" s="29" t="s">
        <v>582</v>
      </c>
      <c r="C79" s="417" t="s">
        <v>9</v>
      </c>
      <c r="D79" s="416">
        <v>4</v>
      </c>
      <c r="E79" s="415"/>
      <c r="F79" s="415">
        <f>D79*E79</f>
        <v>0</v>
      </c>
    </row>
    <row r="80" spans="1:6" s="4" customFormat="1" ht="15">
      <c r="A80" s="28" t="s">
        <v>221</v>
      </c>
      <c r="B80" s="29" t="s">
        <v>456</v>
      </c>
      <c r="C80" s="417" t="s">
        <v>9</v>
      </c>
      <c r="D80" s="416">
        <v>3</v>
      </c>
      <c r="E80" s="415"/>
      <c r="F80" s="415">
        <f>D80*E80</f>
        <v>0</v>
      </c>
    </row>
    <row r="81" spans="1:6" s="4" customFormat="1" ht="15.6">
      <c r="A81" s="28" t="s">
        <v>30</v>
      </c>
      <c r="B81" s="27" t="s">
        <v>35</v>
      </c>
      <c r="C81" s="417"/>
      <c r="D81" s="416"/>
      <c r="E81" s="415"/>
      <c r="F81" s="415"/>
    </row>
    <row r="82" spans="1:6" s="4" customFormat="1" ht="15">
      <c r="A82" s="28" t="s">
        <v>457</v>
      </c>
      <c r="B82" s="29" t="s">
        <v>458</v>
      </c>
      <c r="C82" s="417" t="s">
        <v>182</v>
      </c>
      <c r="D82" s="416">
        <v>0</v>
      </c>
      <c r="E82" s="415"/>
      <c r="F82" s="415">
        <f>D82*E82</f>
        <v>0</v>
      </c>
    </row>
    <row r="83" spans="1:6" s="4" customFormat="1" ht="15">
      <c r="A83" s="28" t="s">
        <v>457</v>
      </c>
      <c r="B83" s="29" t="s">
        <v>105</v>
      </c>
      <c r="C83" s="417" t="s">
        <v>10</v>
      </c>
      <c r="D83" s="446">
        <v>3.87</v>
      </c>
      <c r="E83" s="415"/>
      <c r="F83" s="415">
        <f>D83*E83</f>
        <v>0</v>
      </c>
    </row>
    <row r="84" spans="1:6" s="4" customFormat="1" ht="15">
      <c r="A84" s="28" t="s">
        <v>459</v>
      </c>
      <c r="B84" s="16" t="s">
        <v>460</v>
      </c>
      <c r="C84" s="417" t="s">
        <v>10</v>
      </c>
      <c r="D84" s="446">
        <v>1.718</v>
      </c>
      <c r="E84" s="415"/>
      <c r="F84" s="415">
        <f>D84*E84</f>
        <v>0</v>
      </c>
    </row>
    <row r="85" spans="1:6" s="4" customFormat="1" ht="15">
      <c r="A85" s="28" t="s">
        <v>461</v>
      </c>
      <c r="B85" s="29" t="s">
        <v>87</v>
      </c>
      <c r="C85" s="417" t="s">
        <v>10</v>
      </c>
      <c r="D85" s="446">
        <v>0.96799999999999997</v>
      </c>
      <c r="E85" s="415"/>
      <c r="F85" s="415">
        <f>D85*E85</f>
        <v>0</v>
      </c>
    </row>
    <row r="86" spans="1:6" s="4" customFormat="1" ht="15">
      <c r="A86" s="28" t="s">
        <v>223</v>
      </c>
      <c r="B86" s="29" t="s">
        <v>106</v>
      </c>
      <c r="C86" s="417" t="s">
        <v>4</v>
      </c>
      <c r="D86" s="446">
        <v>19.350000000000001</v>
      </c>
      <c r="E86" s="415"/>
      <c r="F86" s="415">
        <f>D86*E86</f>
        <v>0</v>
      </c>
    </row>
    <row r="87" spans="1:6" s="4" customFormat="1" ht="15">
      <c r="A87" s="28" t="s">
        <v>462</v>
      </c>
      <c r="B87" s="29" t="s">
        <v>463</v>
      </c>
      <c r="C87" s="417"/>
      <c r="D87" s="446"/>
      <c r="E87" s="415"/>
      <c r="F87" s="415"/>
    </row>
    <row r="88" spans="1:6" s="4" customFormat="1" ht="15">
      <c r="A88" s="28" t="s">
        <v>464</v>
      </c>
      <c r="B88" s="29" t="s">
        <v>20</v>
      </c>
      <c r="C88" s="417" t="s">
        <v>10</v>
      </c>
      <c r="D88" s="446">
        <v>1.292</v>
      </c>
      <c r="E88" s="415"/>
      <c r="F88" s="415">
        <f>D88*E88</f>
        <v>0</v>
      </c>
    </row>
    <row r="89" spans="1:6" s="4" customFormat="1" ht="15">
      <c r="A89" s="28" t="s">
        <v>465</v>
      </c>
      <c r="B89" s="29" t="s">
        <v>100</v>
      </c>
      <c r="C89" s="417" t="s">
        <v>4</v>
      </c>
      <c r="D89" s="446">
        <v>2.58</v>
      </c>
      <c r="E89" s="415"/>
      <c r="F89" s="415">
        <f>D89*E89</f>
        <v>0</v>
      </c>
    </row>
    <row r="90" spans="1:6" s="4" customFormat="1" ht="15">
      <c r="A90" s="28" t="s">
        <v>466</v>
      </c>
      <c r="B90" s="29" t="s">
        <v>467</v>
      </c>
      <c r="C90" s="417" t="s">
        <v>4</v>
      </c>
      <c r="D90" s="446">
        <v>7.09</v>
      </c>
      <c r="E90" s="415"/>
      <c r="F90" s="415">
        <f>D90*E90</f>
        <v>0</v>
      </c>
    </row>
    <row r="91" spans="1:6" s="4" customFormat="1" ht="15.6">
      <c r="A91" s="28" t="s">
        <v>31</v>
      </c>
      <c r="B91" s="27" t="s">
        <v>36</v>
      </c>
      <c r="C91" s="417"/>
      <c r="D91" s="416"/>
      <c r="E91" s="415"/>
      <c r="F91" s="415"/>
    </row>
    <row r="92" spans="1:6" s="4" customFormat="1" ht="15">
      <c r="A92" s="28" t="s">
        <v>468</v>
      </c>
      <c r="B92" s="29" t="s">
        <v>105</v>
      </c>
      <c r="C92" s="417" t="s">
        <v>10</v>
      </c>
      <c r="D92" s="416">
        <f>(2*2+1.2)*0.4*0.4</f>
        <v>0.83200000000000007</v>
      </c>
      <c r="E92" s="415"/>
      <c r="F92" s="415">
        <f>D92*E92</f>
        <v>0</v>
      </c>
    </row>
    <row r="93" spans="1:6" s="4" customFormat="1" ht="15">
      <c r="A93" s="28" t="s">
        <v>469</v>
      </c>
      <c r="B93" s="16" t="s">
        <v>107</v>
      </c>
      <c r="C93" s="417" t="s">
        <v>10</v>
      </c>
      <c r="D93" s="416">
        <v>0</v>
      </c>
      <c r="E93" s="415"/>
      <c r="F93" s="415">
        <f>D93*E93</f>
        <v>0</v>
      </c>
    </row>
    <row r="94" spans="1:6" s="4" customFormat="1" ht="15">
      <c r="A94" s="28" t="s">
        <v>470</v>
      </c>
      <c r="B94" s="29" t="s">
        <v>87</v>
      </c>
      <c r="C94" s="417" t="s">
        <v>10</v>
      </c>
      <c r="D94" s="416">
        <f>(4+1.2)*0.4*0.05</f>
        <v>0.10400000000000001</v>
      </c>
      <c r="E94" s="415"/>
      <c r="F94" s="415">
        <f>D94*E94</f>
        <v>0</v>
      </c>
    </row>
    <row r="95" spans="1:6" s="4" customFormat="1" ht="15">
      <c r="A95" s="28" t="s">
        <v>471</v>
      </c>
      <c r="B95" s="29" t="s">
        <v>106</v>
      </c>
      <c r="C95" s="417" t="s">
        <v>4</v>
      </c>
      <c r="D95" s="416">
        <f>2*2*0.4</f>
        <v>1.6</v>
      </c>
      <c r="E95" s="415"/>
      <c r="F95" s="415">
        <f>D95*E95</f>
        <v>0</v>
      </c>
    </row>
    <row r="96" spans="1:6" s="4" customFormat="1" ht="15">
      <c r="A96" s="28" t="s">
        <v>32</v>
      </c>
      <c r="B96" s="29" t="s">
        <v>472</v>
      </c>
      <c r="C96" s="417"/>
      <c r="D96" s="416"/>
      <c r="E96" s="415"/>
      <c r="F96" s="415"/>
    </row>
    <row r="97" spans="1:6" s="4" customFormat="1" ht="15">
      <c r="A97" s="28" t="s">
        <v>473</v>
      </c>
      <c r="B97" s="29" t="s">
        <v>20</v>
      </c>
      <c r="C97" s="417" t="s">
        <v>10</v>
      </c>
      <c r="D97" s="416">
        <f>2*2.2*0.15</f>
        <v>0.66</v>
      </c>
      <c r="E97" s="415"/>
      <c r="F97" s="415">
        <f t="shared" ref="F97:F108" si="2">D97*E97</f>
        <v>0</v>
      </c>
    </row>
    <row r="98" spans="1:6" s="4" customFormat="1" ht="15">
      <c r="A98" s="28" t="s">
        <v>474</v>
      </c>
      <c r="B98" s="29" t="s">
        <v>300</v>
      </c>
      <c r="C98" s="417" t="s">
        <v>23</v>
      </c>
      <c r="D98" s="416">
        <f>D97*12</f>
        <v>7.92</v>
      </c>
      <c r="E98" s="415"/>
      <c r="F98" s="415">
        <f t="shared" si="2"/>
        <v>0</v>
      </c>
    </row>
    <row r="99" spans="1:6" s="4" customFormat="1" ht="15">
      <c r="A99" s="28" t="s">
        <v>475</v>
      </c>
      <c r="B99" s="29" t="s">
        <v>100</v>
      </c>
      <c r="C99" s="417" t="s">
        <v>4</v>
      </c>
      <c r="D99" s="416">
        <f>D97*2</f>
        <v>1.32</v>
      </c>
      <c r="E99" s="415"/>
      <c r="F99" s="415">
        <f t="shared" si="2"/>
        <v>0</v>
      </c>
    </row>
    <row r="100" spans="1:6" s="4" customFormat="1" ht="15.6" hidden="1">
      <c r="A100" s="28" t="s">
        <v>108</v>
      </c>
      <c r="B100" s="27" t="s">
        <v>476</v>
      </c>
      <c r="C100" s="417"/>
      <c r="D100" s="416"/>
      <c r="E100" s="415"/>
      <c r="F100" s="415">
        <f t="shared" si="2"/>
        <v>0</v>
      </c>
    </row>
    <row r="101" spans="1:6" s="4" customFormat="1" ht="15.6" hidden="1">
      <c r="A101" s="28"/>
      <c r="B101" s="27" t="s">
        <v>477</v>
      </c>
      <c r="C101" s="417"/>
      <c r="D101" s="416"/>
      <c r="E101" s="415"/>
      <c r="F101" s="415">
        <f t="shared" si="2"/>
        <v>0</v>
      </c>
    </row>
    <row r="102" spans="1:6" s="4" customFormat="1" ht="15" hidden="1">
      <c r="A102" s="28" t="s">
        <v>109</v>
      </c>
      <c r="B102" s="29" t="s">
        <v>20</v>
      </c>
      <c r="C102" s="417" t="s">
        <v>10</v>
      </c>
      <c r="D102" s="416">
        <v>0</v>
      </c>
      <c r="E102" s="415"/>
      <c r="F102" s="415">
        <f t="shared" si="2"/>
        <v>0</v>
      </c>
    </row>
    <row r="103" spans="1:6" s="4" customFormat="1" ht="15" hidden="1">
      <c r="A103" s="28" t="s">
        <v>110</v>
      </c>
      <c r="B103" s="29" t="s">
        <v>300</v>
      </c>
      <c r="C103" s="417" t="s">
        <v>23</v>
      </c>
      <c r="D103" s="416">
        <v>0</v>
      </c>
      <c r="E103" s="415"/>
      <c r="F103" s="415">
        <f t="shared" si="2"/>
        <v>0</v>
      </c>
    </row>
    <row r="104" spans="1:6" s="4" customFormat="1" ht="15" hidden="1">
      <c r="A104" s="28" t="s">
        <v>111</v>
      </c>
      <c r="B104" s="29" t="s">
        <v>478</v>
      </c>
      <c r="C104" s="417" t="s">
        <v>4</v>
      </c>
      <c r="D104" s="416">
        <v>0</v>
      </c>
      <c r="E104" s="415"/>
      <c r="F104" s="415">
        <f t="shared" si="2"/>
        <v>0</v>
      </c>
    </row>
    <row r="105" spans="1:6" s="4" customFormat="1" ht="15" hidden="1">
      <c r="A105" s="28" t="s">
        <v>112</v>
      </c>
      <c r="B105" s="29" t="s">
        <v>479</v>
      </c>
      <c r="C105" s="417"/>
      <c r="D105" s="416"/>
      <c r="E105" s="415"/>
      <c r="F105" s="415">
        <f t="shared" si="2"/>
        <v>0</v>
      </c>
    </row>
    <row r="106" spans="1:6" s="4" customFormat="1" ht="15" hidden="1">
      <c r="A106" s="28" t="s">
        <v>375</v>
      </c>
      <c r="B106" s="29" t="s">
        <v>20</v>
      </c>
      <c r="C106" s="417" t="s">
        <v>10</v>
      </c>
      <c r="D106" s="416">
        <v>0</v>
      </c>
      <c r="E106" s="415"/>
      <c r="F106" s="415">
        <f t="shared" si="2"/>
        <v>0</v>
      </c>
    </row>
    <row r="107" spans="1:6" s="4" customFormat="1" ht="15" hidden="1">
      <c r="A107" s="28" t="s">
        <v>113</v>
      </c>
      <c r="B107" s="29" t="s">
        <v>300</v>
      </c>
      <c r="C107" s="417" t="s">
        <v>23</v>
      </c>
      <c r="D107" s="416">
        <v>0</v>
      </c>
      <c r="E107" s="415"/>
      <c r="F107" s="415">
        <f t="shared" si="2"/>
        <v>0</v>
      </c>
    </row>
    <row r="108" spans="1:6" s="4" customFormat="1" ht="15" hidden="1">
      <c r="A108" s="28" t="s">
        <v>284</v>
      </c>
      <c r="B108" s="29" t="s">
        <v>478</v>
      </c>
      <c r="C108" s="417" t="s">
        <v>4</v>
      </c>
      <c r="D108" s="416">
        <v>0</v>
      </c>
      <c r="E108" s="415"/>
      <c r="F108" s="415">
        <f t="shared" si="2"/>
        <v>0</v>
      </c>
    </row>
    <row r="109" spans="1:6" s="4" customFormat="1" ht="15.6">
      <c r="A109" s="28" t="s">
        <v>480</v>
      </c>
      <c r="B109" s="27" t="s">
        <v>114</v>
      </c>
      <c r="C109" s="417"/>
      <c r="D109" s="416"/>
      <c r="E109" s="415"/>
      <c r="F109" s="415"/>
    </row>
    <row r="110" spans="1:6" s="4" customFormat="1" ht="15">
      <c r="A110" s="28" t="s">
        <v>481</v>
      </c>
      <c r="B110" s="29" t="s">
        <v>482</v>
      </c>
      <c r="C110" s="417" t="s">
        <v>4</v>
      </c>
      <c r="D110" s="416">
        <v>0</v>
      </c>
      <c r="E110" s="415"/>
      <c r="F110" s="415">
        <f>D110*E110</f>
        <v>0</v>
      </c>
    </row>
    <row r="111" spans="1:6" s="4" customFormat="1" ht="15">
      <c r="A111" s="28" t="s">
        <v>481</v>
      </c>
      <c r="B111" s="29" t="s">
        <v>583</v>
      </c>
      <c r="C111" s="417" t="s">
        <v>9</v>
      </c>
      <c r="D111" s="416">
        <v>3</v>
      </c>
      <c r="E111" s="415"/>
      <c r="F111" s="415">
        <f>D111*E111</f>
        <v>0</v>
      </c>
    </row>
    <row r="112" spans="1:6" s="4" customFormat="1" ht="15">
      <c r="A112" s="28" t="s">
        <v>481</v>
      </c>
      <c r="B112" s="29" t="s">
        <v>484</v>
      </c>
      <c r="C112" s="417" t="s">
        <v>7</v>
      </c>
      <c r="D112" s="416">
        <f>6*3</f>
        <v>18</v>
      </c>
      <c r="E112" s="415"/>
      <c r="F112" s="415">
        <f>D112*E112</f>
        <v>0</v>
      </c>
    </row>
    <row r="113" spans="1:6" s="4" customFormat="1" ht="15">
      <c r="A113" s="28" t="s">
        <v>584</v>
      </c>
      <c r="B113" s="29" t="s">
        <v>585</v>
      </c>
      <c r="C113" s="417" t="s">
        <v>9</v>
      </c>
      <c r="D113" s="416">
        <v>0</v>
      </c>
      <c r="E113" s="415"/>
      <c r="F113" s="415">
        <f>D113*E113</f>
        <v>0</v>
      </c>
    </row>
    <row r="114" spans="1:6" s="4" customFormat="1" ht="15.6" thickBot="1">
      <c r="A114" s="28" t="s">
        <v>485</v>
      </c>
      <c r="B114" s="29" t="s">
        <v>486</v>
      </c>
      <c r="C114" s="417" t="s">
        <v>9</v>
      </c>
      <c r="D114" s="416">
        <v>4</v>
      </c>
      <c r="E114" s="415"/>
      <c r="F114" s="415">
        <f>D114*E114</f>
        <v>0</v>
      </c>
    </row>
    <row r="115" spans="1:6" s="4" customFormat="1" ht="17.399999999999999" customHeight="1" thickBot="1">
      <c r="A115" s="18"/>
      <c r="B115" s="445" t="s">
        <v>115</v>
      </c>
      <c r="C115" s="411"/>
      <c r="D115" s="412"/>
      <c r="E115" s="424"/>
      <c r="F115" s="424">
        <f>SUM(F20:F114)</f>
        <v>0</v>
      </c>
    </row>
    <row r="116" spans="1:6" s="4" customFormat="1" ht="16.2" thickBot="1">
      <c r="A116" s="52"/>
      <c r="B116" s="53" t="s">
        <v>487</v>
      </c>
      <c r="C116" s="465"/>
      <c r="D116" s="466"/>
      <c r="E116" s="469"/>
      <c r="F116" s="469">
        <f>F17+F115</f>
        <v>0</v>
      </c>
    </row>
    <row r="117" spans="1:6" s="40" customFormat="1" ht="15.6">
      <c r="A117" s="37">
        <v>3</v>
      </c>
      <c r="B117" s="38" t="s">
        <v>488</v>
      </c>
      <c r="C117" s="444"/>
      <c r="D117" s="443"/>
      <c r="E117" s="442"/>
      <c r="F117" s="442"/>
    </row>
    <row r="118" spans="1:6" s="4" customFormat="1" ht="15">
      <c r="A118" s="28" t="s">
        <v>116</v>
      </c>
      <c r="B118" s="29" t="s">
        <v>117</v>
      </c>
      <c r="C118" s="417"/>
      <c r="D118" s="417"/>
      <c r="E118" s="415"/>
      <c r="F118" s="415"/>
    </row>
    <row r="119" spans="1:6" s="4" customFormat="1" ht="15">
      <c r="A119" s="15" t="s">
        <v>118</v>
      </c>
      <c r="B119" s="16" t="s">
        <v>638</v>
      </c>
      <c r="C119" s="417" t="s">
        <v>489</v>
      </c>
      <c r="D119" s="417">
        <v>1</v>
      </c>
      <c r="E119" s="441"/>
      <c r="F119" s="415">
        <f t="shared" ref="F119:F126" si="3">D119*E119</f>
        <v>0</v>
      </c>
    </row>
    <row r="120" spans="1:6" s="4" customFormat="1" ht="15">
      <c r="A120" s="15" t="s">
        <v>119</v>
      </c>
      <c r="B120" s="16" t="s">
        <v>120</v>
      </c>
      <c r="C120" s="417" t="s">
        <v>10</v>
      </c>
      <c r="D120" s="417">
        <f>(12*32)/100</f>
        <v>3.84</v>
      </c>
      <c r="E120" s="441"/>
      <c r="F120" s="415">
        <f t="shared" si="3"/>
        <v>0</v>
      </c>
    </row>
    <row r="121" spans="1:6" s="4" customFormat="1" ht="15" hidden="1">
      <c r="A121" s="15" t="s">
        <v>121</v>
      </c>
      <c r="B121" s="16" t="s">
        <v>490</v>
      </c>
      <c r="C121" s="417" t="s">
        <v>7</v>
      </c>
      <c r="D121" s="417"/>
      <c r="E121" s="440"/>
      <c r="F121" s="415">
        <f t="shared" si="3"/>
        <v>0</v>
      </c>
    </row>
    <row r="122" spans="1:6" s="4" customFormat="1" ht="15" hidden="1">
      <c r="A122" s="15" t="s">
        <v>119</v>
      </c>
      <c r="B122" s="16" t="s">
        <v>491</v>
      </c>
      <c r="C122" s="417" t="s">
        <v>7</v>
      </c>
      <c r="D122" s="417"/>
      <c r="E122" s="440"/>
      <c r="F122" s="415">
        <f t="shared" si="3"/>
        <v>0</v>
      </c>
    </row>
    <row r="123" spans="1:6" s="4" customFormat="1" ht="15" hidden="1">
      <c r="A123" s="15" t="s">
        <v>492</v>
      </c>
      <c r="B123" s="16" t="s">
        <v>493</v>
      </c>
      <c r="C123" s="417" t="s">
        <v>7</v>
      </c>
      <c r="D123" s="417"/>
      <c r="E123" s="440"/>
      <c r="F123" s="415">
        <f t="shared" si="3"/>
        <v>0</v>
      </c>
    </row>
    <row r="124" spans="1:6" s="4" customFormat="1" ht="15" hidden="1">
      <c r="A124" s="15" t="s">
        <v>494</v>
      </c>
      <c r="B124" s="16" t="s">
        <v>495</v>
      </c>
      <c r="C124" s="417" t="s">
        <v>7</v>
      </c>
      <c r="D124" s="417"/>
      <c r="E124" s="440"/>
      <c r="F124" s="415">
        <f t="shared" si="3"/>
        <v>0</v>
      </c>
    </row>
    <row r="125" spans="1:6" s="4" customFormat="1" ht="15" hidden="1">
      <c r="A125" s="15" t="s">
        <v>496</v>
      </c>
      <c r="B125" s="16" t="s">
        <v>497</v>
      </c>
      <c r="C125" s="417" t="s">
        <v>7</v>
      </c>
      <c r="D125" s="417"/>
      <c r="E125" s="440"/>
      <c r="F125" s="415">
        <f t="shared" si="3"/>
        <v>0</v>
      </c>
    </row>
    <row r="126" spans="1:6" s="4" customFormat="1" ht="15.6" thickBot="1">
      <c r="A126" s="15" t="s">
        <v>498</v>
      </c>
      <c r="B126" s="16" t="s">
        <v>122</v>
      </c>
      <c r="C126" s="417" t="s">
        <v>9</v>
      </c>
      <c r="D126" s="417">
        <v>24</v>
      </c>
      <c r="E126" s="415"/>
      <c r="F126" s="415">
        <f t="shared" si="3"/>
        <v>0</v>
      </c>
    </row>
    <row r="127" spans="1:6" s="4" customFormat="1" ht="16.2" thickBot="1">
      <c r="A127" s="56"/>
      <c r="B127" s="53" t="s">
        <v>500</v>
      </c>
      <c r="C127" s="467"/>
      <c r="D127" s="471"/>
      <c r="E127" s="470"/>
      <c r="F127" s="469">
        <f>SUM(F119:F126)</f>
        <v>0</v>
      </c>
    </row>
    <row r="128" spans="1:6" s="4" customFormat="1" ht="15.6">
      <c r="A128" s="41">
        <v>4</v>
      </c>
      <c r="B128" s="42" t="s">
        <v>501</v>
      </c>
      <c r="C128" s="423"/>
      <c r="D128" s="416"/>
      <c r="E128" s="427"/>
      <c r="F128" s="415"/>
    </row>
    <row r="129" spans="1:6" s="4" customFormat="1" ht="15">
      <c r="A129" s="28" t="s">
        <v>123</v>
      </c>
      <c r="B129" s="29" t="s">
        <v>43</v>
      </c>
      <c r="C129" s="417"/>
      <c r="D129" s="416"/>
      <c r="E129" s="415"/>
      <c r="F129" s="415"/>
    </row>
    <row r="130" spans="1:6" s="4" customFormat="1" ht="15.6">
      <c r="A130" s="28" t="s">
        <v>124</v>
      </c>
      <c r="B130" s="42" t="s">
        <v>44</v>
      </c>
      <c r="C130" s="417"/>
      <c r="D130" s="416"/>
      <c r="E130" s="415"/>
      <c r="F130" s="415"/>
    </row>
    <row r="131" spans="1:6" s="4" customFormat="1" ht="15">
      <c r="A131" s="28" t="s">
        <v>502</v>
      </c>
      <c r="B131" s="29" t="s">
        <v>503</v>
      </c>
      <c r="C131" s="417" t="s">
        <v>4</v>
      </c>
      <c r="D131" s="416">
        <f>12*33</f>
        <v>396</v>
      </c>
      <c r="E131" s="415"/>
      <c r="F131" s="415">
        <f>D131*E131</f>
        <v>0</v>
      </c>
    </row>
    <row r="132" spans="1:6" s="4" customFormat="1" ht="15.6">
      <c r="A132" s="28" t="s">
        <v>125</v>
      </c>
      <c r="B132" s="42" t="s">
        <v>126</v>
      </c>
      <c r="C132" s="417"/>
      <c r="D132" s="416"/>
      <c r="E132" s="415"/>
      <c r="F132" s="415"/>
    </row>
    <row r="133" spans="1:6" s="4" customFormat="1" ht="15.6">
      <c r="A133" s="28" t="s">
        <v>127</v>
      </c>
      <c r="B133" s="29" t="s">
        <v>504</v>
      </c>
      <c r="C133" s="417" t="s">
        <v>7</v>
      </c>
      <c r="D133" s="416">
        <v>33</v>
      </c>
      <c r="E133" s="415"/>
      <c r="F133" s="415">
        <f>D133*E133</f>
        <v>0</v>
      </c>
    </row>
    <row r="134" spans="1:6" s="4" customFormat="1" ht="15.6">
      <c r="A134" s="28" t="s">
        <v>246</v>
      </c>
      <c r="B134" s="42" t="s">
        <v>130</v>
      </c>
      <c r="C134" s="436"/>
      <c r="D134" s="416"/>
      <c r="E134" s="418"/>
      <c r="F134" s="415"/>
    </row>
    <row r="135" spans="1:6" s="4" customFormat="1" ht="15.6" thickBot="1">
      <c r="A135" s="35" t="s">
        <v>247</v>
      </c>
      <c r="B135" s="29" t="s">
        <v>586</v>
      </c>
      <c r="C135" s="439" t="s">
        <v>4</v>
      </c>
      <c r="D135" s="416">
        <f>(2*33*0.4)+(24*0.6)</f>
        <v>40.799999999999997</v>
      </c>
      <c r="E135" s="438"/>
      <c r="F135" s="415">
        <f>D135*E135</f>
        <v>0</v>
      </c>
    </row>
    <row r="136" spans="1:6" s="4" customFormat="1" ht="16.2" thickBot="1">
      <c r="A136" s="56"/>
      <c r="B136" s="468" t="s">
        <v>505</v>
      </c>
      <c r="C136" s="465"/>
      <c r="D136" s="466"/>
      <c r="E136" s="469"/>
      <c r="F136" s="469">
        <f>SUM(F131:F135)</f>
        <v>0</v>
      </c>
    </row>
    <row r="137" spans="1:6" s="4" customFormat="1" ht="15.6">
      <c r="A137" s="14">
        <v>5</v>
      </c>
      <c r="B137" s="43" t="s">
        <v>506</v>
      </c>
      <c r="C137" s="417"/>
      <c r="D137" s="416"/>
      <c r="E137" s="415"/>
      <c r="F137" s="415"/>
    </row>
    <row r="138" spans="1:6" s="4" customFormat="1" ht="15.6">
      <c r="A138" s="16" t="s">
        <v>49</v>
      </c>
      <c r="B138" s="43" t="s">
        <v>51</v>
      </c>
      <c r="C138" s="417"/>
      <c r="D138" s="416"/>
      <c r="E138" s="415"/>
      <c r="F138" s="415"/>
    </row>
    <row r="139" spans="1:6" s="4" customFormat="1" ht="15.6" thickBot="1">
      <c r="A139" s="29" t="s">
        <v>50</v>
      </c>
      <c r="B139" s="44" t="s">
        <v>507</v>
      </c>
      <c r="C139" s="417" t="s">
        <v>131</v>
      </c>
      <c r="D139" s="416">
        <v>1</v>
      </c>
      <c r="E139" s="415"/>
      <c r="F139" s="415">
        <f>D139*E139</f>
        <v>0</v>
      </c>
    </row>
    <row r="140" spans="1:6" s="4" customFormat="1" ht="16.2" thickBot="1">
      <c r="A140" s="56"/>
      <c r="B140" s="472" t="s">
        <v>508</v>
      </c>
      <c r="C140" s="465"/>
      <c r="D140" s="466"/>
      <c r="E140" s="469"/>
      <c r="F140" s="469">
        <f>F139</f>
        <v>0</v>
      </c>
    </row>
    <row r="141" spans="1:6" s="4" customFormat="1" ht="15.6">
      <c r="A141" s="15">
        <v>6</v>
      </c>
      <c r="B141" s="437" t="s">
        <v>509</v>
      </c>
      <c r="C141" s="6"/>
      <c r="D141" s="422"/>
      <c r="E141" s="421"/>
      <c r="F141" s="415"/>
    </row>
    <row r="142" spans="1:6" s="4" customFormat="1" ht="15.6">
      <c r="A142" s="435" t="s">
        <v>325</v>
      </c>
      <c r="B142" s="43" t="s">
        <v>510</v>
      </c>
      <c r="C142" s="436"/>
      <c r="D142" s="422"/>
      <c r="E142" s="418"/>
      <c r="F142" s="415"/>
    </row>
    <row r="143" spans="1:6" s="4" customFormat="1" ht="15">
      <c r="A143" s="435" t="s">
        <v>326</v>
      </c>
      <c r="B143" s="431" t="s">
        <v>587</v>
      </c>
      <c r="C143" s="417" t="s">
        <v>9</v>
      </c>
      <c r="D143" s="416">
        <v>3</v>
      </c>
      <c r="E143" s="417"/>
      <c r="F143" s="415">
        <f>D143*E143</f>
        <v>0</v>
      </c>
    </row>
    <row r="144" spans="1:6" s="4" customFormat="1" ht="15">
      <c r="A144" s="435" t="s">
        <v>376</v>
      </c>
      <c r="B144" s="16" t="s">
        <v>512</v>
      </c>
      <c r="C144" s="417"/>
      <c r="D144" s="416"/>
      <c r="E144" s="415"/>
      <c r="F144" s="415">
        <f>D144*E144</f>
        <v>0</v>
      </c>
    </row>
    <row r="145" spans="1:6" s="4" customFormat="1" ht="15">
      <c r="A145" s="435" t="s">
        <v>513</v>
      </c>
      <c r="B145" s="16" t="s">
        <v>514</v>
      </c>
      <c r="C145" s="417" t="s">
        <v>9</v>
      </c>
      <c r="D145" s="416">
        <v>0</v>
      </c>
      <c r="E145" s="415"/>
      <c r="F145" s="415">
        <f>D145*E145</f>
        <v>0</v>
      </c>
    </row>
    <row r="146" spans="1:6" s="4" customFormat="1" ht="15">
      <c r="A146" s="435" t="s">
        <v>515</v>
      </c>
      <c r="B146" s="16" t="s">
        <v>259</v>
      </c>
      <c r="C146" s="417" t="s">
        <v>9</v>
      </c>
      <c r="D146" s="416">
        <v>0</v>
      </c>
      <c r="E146" s="415"/>
      <c r="F146" s="415">
        <f>D146*E146</f>
        <v>0</v>
      </c>
    </row>
    <row r="147" spans="1:6" s="4" customFormat="1" ht="15.6">
      <c r="A147" s="435" t="s">
        <v>377</v>
      </c>
      <c r="B147" s="43" t="s">
        <v>516</v>
      </c>
      <c r="C147" s="436"/>
      <c r="D147" s="422"/>
      <c r="E147" s="418"/>
      <c r="F147" s="415"/>
    </row>
    <row r="148" spans="1:6" s="4" customFormat="1" ht="15.6">
      <c r="A148" s="435" t="s">
        <v>378</v>
      </c>
      <c r="B148" s="431" t="s">
        <v>517</v>
      </c>
      <c r="C148" s="436"/>
      <c r="D148" s="422"/>
      <c r="E148" s="418"/>
      <c r="F148" s="415"/>
    </row>
    <row r="149" spans="1:6" s="4" customFormat="1" ht="15">
      <c r="A149" s="435" t="s">
        <v>518</v>
      </c>
      <c r="B149" s="431" t="s">
        <v>519</v>
      </c>
      <c r="C149" s="417" t="s">
        <v>7</v>
      </c>
      <c r="D149" s="416">
        <v>4.4000000000000004</v>
      </c>
      <c r="E149" s="415"/>
      <c r="F149" s="415">
        <f>D149*E149</f>
        <v>0</v>
      </c>
    </row>
    <row r="150" spans="1:6" s="4" customFormat="1" ht="15.6" thickBot="1">
      <c r="A150" s="15" t="s">
        <v>520</v>
      </c>
      <c r="B150" s="431" t="s">
        <v>521</v>
      </c>
      <c r="C150" s="417" t="s">
        <v>4</v>
      </c>
      <c r="D150" s="416">
        <v>1.2</v>
      </c>
      <c r="E150" s="415"/>
      <c r="F150" s="415">
        <f>D150*E150</f>
        <v>0</v>
      </c>
    </row>
    <row r="151" spans="1:6" s="4" customFormat="1" ht="16.2" thickBot="1">
      <c r="A151" s="474"/>
      <c r="B151" s="473" t="s">
        <v>522</v>
      </c>
      <c r="C151" s="465"/>
      <c r="D151" s="466"/>
      <c r="E151" s="469"/>
      <c r="F151" s="469">
        <f>SUM(F143:F150)</f>
        <v>0</v>
      </c>
    </row>
    <row r="152" spans="1:6" s="4" customFormat="1" ht="15.6">
      <c r="A152" s="41">
        <v>7</v>
      </c>
      <c r="B152" s="42" t="s">
        <v>523</v>
      </c>
      <c r="C152" s="432"/>
      <c r="D152" s="420"/>
      <c r="E152" s="427"/>
      <c r="F152" s="415"/>
    </row>
    <row r="153" spans="1:6" s="4" customFormat="1" ht="15" hidden="1">
      <c r="A153" s="431" t="s">
        <v>132</v>
      </c>
      <c r="B153" s="29" t="s">
        <v>524</v>
      </c>
      <c r="C153" s="417" t="s">
        <v>7</v>
      </c>
      <c r="D153" s="416">
        <v>0</v>
      </c>
      <c r="E153" s="415"/>
      <c r="F153" s="415">
        <f>D153*E153</f>
        <v>0</v>
      </c>
    </row>
    <row r="154" spans="1:6" s="4" customFormat="1" ht="15" hidden="1">
      <c r="A154" s="431" t="s">
        <v>133</v>
      </c>
      <c r="B154" s="29" t="s">
        <v>525</v>
      </c>
      <c r="C154" s="417" t="s">
        <v>7</v>
      </c>
      <c r="D154" s="416">
        <v>0</v>
      </c>
      <c r="E154" s="415"/>
      <c r="F154" s="415">
        <f>D154*E154</f>
        <v>0</v>
      </c>
    </row>
    <row r="155" spans="1:6" s="4" customFormat="1" ht="15">
      <c r="A155" s="431" t="s">
        <v>382</v>
      </c>
      <c r="B155" s="29" t="s">
        <v>526</v>
      </c>
      <c r="C155" s="417"/>
      <c r="D155" s="416"/>
      <c r="E155" s="415"/>
      <c r="F155" s="415"/>
    </row>
    <row r="156" spans="1:6" s="4" customFormat="1" ht="15">
      <c r="A156" s="431"/>
      <c r="B156" s="29" t="s">
        <v>527</v>
      </c>
      <c r="C156" s="417" t="s">
        <v>4</v>
      </c>
      <c r="D156" s="416">
        <f>32.25*11.45</f>
        <v>369.26249999999999</v>
      </c>
      <c r="E156" s="415"/>
      <c r="F156" s="415">
        <f>D156*E156</f>
        <v>0</v>
      </c>
    </row>
    <row r="157" spans="1:6" s="4" customFormat="1" ht="15.6" thickBot="1">
      <c r="A157" s="431"/>
      <c r="B157" s="29" t="s">
        <v>588</v>
      </c>
      <c r="C157" s="417" t="s">
        <v>4</v>
      </c>
      <c r="D157" s="416">
        <f>D156</f>
        <v>369.26249999999999</v>
      </c>
      <c r="E157" s="415"/>
      <c r="F157" s="415">
        <f>D157*E157</f>
        <v>0</v>
      </c>
    </row>
    <row r="158" spans="1:6" s="4" customFormat="1" ht="16.2" thickBot="1">
      <c r="A158" s="56"/>
      <c r="B158" s="472" t="s">
        <v>529</v>
      </c>
      <c r="C158" s="465"/>
      <c r="D158" s="466"/>
      <c r="E158" s="470"/>
      <c r="F158" s="469">
        <f>SUM(F153:F157)</f>
        <v>0</v>
      </c>
    </row>
    <row r="159" spans="1:6" s="4" customFormat="1" ht="21.6" customHeight="1">
      <c r="A159" s="14">
        <v>8</v>
      </c>
      <c r="B159" s="47" t="s">
        <v>640</v>
      </c>
      <c r="C159" s="6"/>
      <c r="D159" s="422"/>
      <c r="E159" s="421"/>
      <c r="F159" s="415"/>
    </row>
    <row r="160" spans="1:6" s="4" customFormat="1" ht="15.6">
      <c r="A160" s="15" t="s">
        <v>330</v>
      </c>
      <c r="B160" s="47" t="s">
        <v>134</v>
      </c>
      <c r="C160" s="417"/>
      <c r="D160" s="416"/>
      <c r="E160" s="415"/>
      <c r="F160" s="415"/>
    </row>
    <row r="161" spans="1:7" s="4" customFormat="1" ht="15">
      <c r="A161" s="15" t="s">
        <v>332</v>
      </c>
      <c r="B161" s="16" t="s">
        <v>639</v>
      </c>
      <c r="C161" s="417" t="s">
        <v>9</v>
      </c>
      <c r="D161" s="416">
        <v>3</v>
      </c>
      <c r="E161" s="415"/>
      <c r="F161" s="415">
        <f>D161*E161</f>
        <v>0</v>
      </c>
    </row>
    <row r="162" spans="1:7" s="4" customFormat="1" ht="15">
      <c r="A162" s="15" t="s">
        <v>531</v>
      </c>
      <c r="B162" s="16" t="s">
        <v>589</v>
      </c>
      <c r="C162" s="417" t="s">
        <v>9</v>
      </c>
      <c r="D162" s="416">
        <v>2</v>
      </c>
      <c r="E162" s="415"/>
      <c r="F162" s="415">
        <f>D162*E162</f>
        <v>0</v>
      </c>
    </row>
    <row r="163" spans="1:7" s="4" customFormat="1" ht="15.6">
      <c r="A163" s="15" t="s">
        <v>533</v>
      </c>
      <c r="B163" s="47" t="s">
        <v>135</v>
      </c>
      <c r="C163" s="417"/>
      <c r="D163" s="416"/>
      <c r="E163" s="415"/>
      <c r="F163" s="415"/>
    </row>
    <row r="164" spans="1:7" s="4" customFormat="1" ht="15">
      <c r="A164" s="15" t="s">
        <v>534</v>
      </c>
      <c r="B164" s="16" t="s">
        <v>535</v>
      </c>
      <c r="C164" s="417" t="s">
        <v>9</v>
      </c>
      <c r="D164" s="417">
        <v>1</v>
      </c>
      <c r="E164" s="415"/>
      <c r="F164" s="415">
        <f>D164*E164</f>
        <v>0</v>
      </c>
    </row>
    <row r="165" spans="1:7" s="4" customFormat="1" ht="15">
      <c r="A165" s="15" t="s">
        <v>536</v>
      </c>
      <c r="B165" s="16" t="s">
        <v>361</v>
      </c>
      <c r="C165" s="417" t="s">
        <v>9</v>
      </c>
      <c r="D165" s="417">
        <v>3</v>
      </c>
      <c r="E165" s="415"/>
      <c r="F165" s="415">
        <f>D165*E165</f>
        <v>0</v>
      </c>
    </row>
    <row r="166" spans="1:7" s="4" customFormat="1" ht="15.6">
      <c r="A166" s="16" t="s">
        <v>537</v>
      </c>
      <c r="B166" s="11" t="s">
        <v>590</v>
      </c>
      <c r="C166" s="417"/>
      <c r="D166" s="417"/>
      <c r="E166" s="415"/>
      <c r="F166" s="415"/>
    </row>
    <row r="167" spans="1:7" s="4" customFormat="1" ht="15">
      <c r="A167" s="16" t="s">
        <v>539</v>
      </c>
      <c r="B167" s="16" t="s">
        <v>540</v>
      </c>
      <c r="C167" s="417"/>
      <c r="D167" s="417"/>
      <c r="E167" s="415"/>
      <c r="F167" s="415"/>
    </row>
    <row r="168" spans="1:7" s="4" customFormat="1" ht="15">
      <c r="A168" s="16" t="s">
        <v>541</v>
      </c>
      <c r="B168" s="16" t="s">
        <v>591</v>
      </c>
      <c r="C168" s="417" t="s">
        <v>9</v>
      </c>
      <c r="D168" s="417">
        <v>2</v>
      </c>
      <c r="E168" s="415"/>
      <c r="F168" s="415">
        <f>D168*E168</f>
        <v>0</v>
      </c>
    </row>
    <row r="169" spans="1:7" s="4" customFormat="1" ht="15.6">
      <c r="A169" s="16" t="s">
        <v>543</v>
      </c>
      <c r="B169" s="11" t="s">
        <v>544</v>
      </c>
      <c r="C169" s="417"/>
      <c r="D169" s="417"/>
      <c r="E169" s="415"/>
      <c r="F169" s="415"/>
    </row>
    <row r="170" spans="1:7" s="4" customFormat="1" ht="15">
      <c r="A170" s="16" t="s">
        <v>545</v>
      </c>
      <c r="B170" s="16" t="s">
        <v>546</v>
      </c>
      <c r="C170" s="417" t="s">
        <v>9</v>
      </c>
      <c r="D170" s="417">
        <v>0</v>
      </c>
      <c r="E170" s="415"/>
      <c r="F170" s="415">
        <f>D170*E170</f>
        <v>0</v>
      </c>
    </row>
    <row r="171" spans="1:7" s="4" customFormat="1" ht="15.6" thickBot="1">
      <c r="A171" s="16" t="s">
        <v>547</v>
      </c>
      <c r="B171" s="16" t="s">
        <v>548</v>
      </c>
      <c r="C171" s="417" t="s">
        <v>9</v>
      </c>
      <c r="D171" s="417">
        <v>0</v>
      </c>
      <c r="E171" s="415"/>
      <c r="F171" s="415">
        <f>D171*E171</f>
        <v>0</v>
      </c>
    </row>
    <row r="172" spans="1:7" s="4" customFormat="1" ht="16.2" thickBot="1">
      <c r="A172" s="56"/>
      <c r="B172" s="468" t="s">
        <v>549</v>
      </c>
      <c r="C172" s="467"/>
      <c r="D172" s="471"/>
      <c r="E172" s="470"/>
      <c r="F172" s="469">
        <f>SUM(F162:F171)</f>
        <v>0</v>
      </c>
    </row>
    <row r="173" spans="1:7" s="4" customFormat="1" ht="15.6">
      <c r="A173" s="14">
        <v>9</v>
      </c>
      <c r="B173" s="11" t="s">
        <v>550</v>
      </c>
      <c r="C173" s="423"/>
      <c r="D173" s="428"/>
      <c r="E173" s="427"/>
      <c r="F173" s="415"/>
    </row>
    <row r="174" spans="1:7" s="4" customFormat="1" ht="15.6">
      <c r="A174" s="14">
        <v>10</v>
      </c>
      <c r="B174" s="11" t="s">
        <v>551</v>
      </c>
      <c r="C174" s="417"/>
      <c r="D174" s="416"/>
      <c r="E174" s="415"/>
      <c r="F174" s="415"/>
    </row>
    <row r="175" spans="1:7" s="30" customFormat="1" ht="15">
      <c r="A175" s="15" t="s">
        <v>136</v>
      </c>
      <c r="B175" s="16" t="s">
        <v>552</v>
      </c>
      <c r="C175" s="417"/>
      <c r="D175" s="416"/>
      <c r="E175" s="415"/>
      <c r="F175" s="415"/>
      <c r="G175" s="4"/>
    </row>
    <row r="176" spans="1:7" s="4" customFormat="1" ht="15.6" thickBot="1">
      <c r="A176" s="15" t="s">
        <v>553</v>
      </c>
      <c r="B176" s="48" t="s">
        <v>600</v>
      </c>
      <c r="C176" s="417" t="s">
        <v>489</v>
      </c>
      <c r="D176" s="416">
        <v>0</v>
      </c>
      <c r="E176" s="415"/>
      <c r="F176" s="415">
        <f>D176*E176</f>
        <v>0</v>
      </c>
    </row>
    <row r="177" spans="1:7" s="30" customFormat="1" ht="15.6" hidden="1" thickBot="1">
      <c r="A177" s="15" t="s">
        <v>592</v>
      </c>
      <c r="B177" s="16" t="s">
        <v>593</v>
      </c>
      <c r="C177" s="417" t="s">
        <v>9</v>
      </c>
      <c r="D177" s="416">
        <v>0</v>
      </c>
      <c r="E177" s="415"/>
      <c r="F177" s="415">
        <f>D177*E177</f>
        <v>0</v>
      </c>
      <c r="G177" s="4"/>
    </row>
    <row r="178" spans="1:7" s="30" customFormat="1" ht="15.6" hidden="1" thickBot="1">
      <c r="A178" s="15" t="s">
        <v>594</v>
      </c>
      <c r="B178" s="16" t="s">
        <v>595</v>
      </c>
      <c r="C178" s="417" t="s">
        <v>9</v>
      </c>
      <c r="D178" s="416">
        <v>0</v>
      </c>
      <c r="E178" s="415"/>
      <c r="F178" s="415">
        <f>D178*E178</f>
        <v>0</v>
      </c>
      <c r="G178" s="4"/>
    </row>
    <row r="179" spans="1:7" s="30" customFormat="1" ht="15.6" hidden="1" thickBot="1">
      <c r="A179" s="15" t="s">
        <v>596</v>
      </c>
      <c r="B179" s="16" t="s">
        <v>597</v>
      </c>
      <c r="C179" s="417" t="s">
        <v>9</v>
      </c>
      <c r="D179" s="416">
        <v>0</v>
      </c>
      <c r="E179" s="415"/>
      <c r="F179" s="415">
        <f>D179*E179</f>
        <v>0</v>
      </c>
      <c r="G179" s="4"/>
    </row>
    <row r="180" spans="1:7" s="4" customFormat="1" ht="16.2" thickBot="1">
      <c r="A180" s="52"/>
      <c r="B180" s="468" t="s">
        <v>554</v>
      </c>
      <c r="C180" s="467"/>
      <c r="D180" s="471"/>
      <c r="E180" s="470"/>
      <c r="F180" s="469">
        <f>SUM(F176:F179)</f>
        <v>0</v>
      </c>
    </row>
    <row r="181" spans="1:7" s="4" customFormat="1" ht="15.6">
      <c r="A181" s="14">
        <v>11</v>
      </c>
      <c r="B181" s="11" t="s">
        <v>555</v>
      </c>
      <c r="C181" s="423"/>
      <c r="D181" s="422"/>
      <c r="E181" s="421"/>
      <c r="F181" s="415"/>
    </row>
    <row r="182" spans="1:7" s="30" customFormat="1" ht="15.6">
      <c r="A182" s="15" t="s">
        <v>556</v>
      </c>
      <c r="B182" s="47" t="s">
        <v>137</v>
      </c>
      <c r="C182" s="419"/>
      <c r="D182" s="420"/>
      <c r="E182" s="419"/>
      <c r="F182" s="415"/>
      <c r="G182" s="4"/>
    </row>
    <row r="183" spans="1:7" s="30" customFormat="1" ht="15">
      <c r="A183" s="15" t="s">
        <v>557</v>
      </c>
      <c r="B183" s="48" t="s">
        <v>59</v>
      </c>
      <c r="C183" s="417" t="s">
        <v>4</v>
      </c>
      <c r="D183" s="416">
        <f>((31.25+8.3)*2*3.5)</f>
        <v>276.84999999999997</v>
      </c>
      <c r="E183" s="415"/>
      <c r="F183" s="415">
        <f>D183*E183</f>
        <v>0</v>
      </c>
      <c r="G183" s="4"/>
    </row>
    <row r="184" spans="1:7" s="30" customFormat="1" ht="15.6">
      <c r="A184" s="15" t="s">
        <v>558</v>
      </c>
      <c r="B184" s="48" t="s">
        <v>138</v>
      </c>
      <c r="C184" s="417" t="s">
        <v>4</v>
      </c>
      <c r="D184" s="416">
        <f>1.5*31.25*2+8*2*1.5*2</f>
        <v>141.75</v>
      </c>
      <c r="E184" s="415"/>
      <c r="F184" s="415">
        <f>D184*E184</f>
        <v>0</v>
      </c>
      <c r="G184" s="4"/>
    </row>
    <row r="185" spans="1:7" s="4" customFormat="1" ht="15.6">
      <c r="A185" s="15" t="s">
        <v>559</v>
      </c>
      <c r="B185" s="47" t="s">
        <v>139</v>
      </c>
      <c r="C185" s="417"/>
      <c r="D185" s="416"/>
      <c r="E185" s="415"/>
      <c r="F185" s="415"/>
    </row>
    <row r="186" spans="1:7" s="4" customFormat="1" ht="15">
      <c r="A186" s="15" t="s">
        <v>560</v>
      </c>
      <c r="B186" s="48" t="s">
        <v>60</v>
      </c>
      <c r="C186" s="417" t="s">
        <v>4</v>
      </c>
      <c r="D186" s="416">
        <f>(31.25*2+8*8)*3+3.3*3*2</f>
        <v>399.3</v>
      </c>
      <c r="E186" s="415"/>
      <c r="F186" s="415">
        <f>D186*E186</f>
        <v>0</v>
      </c>
    </row>
    <row r="187" spans="1:7" s="4" customFormat="1" ht="15">
      <c r="A187" s="15" t="s">
        <v>561</v>
      </c>
      <c r="B187" s="48" t="s">
        <v>562</v>
      </c>
      <c r="C187" s="417" t="s">
        <v>4</v>
      </c>
      <c r="D187" s="416">
        <f>D157</f>
        <v>369.26249999999999</v>
      </c>
      <c r="E187" s="415"/>
      <c r="F187" s="415">
        <f>D187*E187</f>
        <v>0</v>
      </c>
    </row>
    <row r="188" spans="1:7" s="4" customFormat="1" ht="15">
      <c r="A188" s="15"/>
      <c r="B188" s="48"/>
      <c r="C188" s="417"/>
      <c r="D188" s="416"/>
      <c r="E188" s="415"/>
      <c r="F188" s="415"/>
    </row>
    <row r="189" spans="1:7" s="4" customFormat="1" ht="15.6" hidden="1">
      <c r="A189" s="15" t="s">
        <v>563</v>
      </c>
      <c r="B189" s="47" t="s">
        <v>564</v>
      </c>
      <c r="C189" s="417"/>
      <c r="D189" s="417"/>
      <c r="E189" s="415"/>
      <c r="F189" s="415"/>
    </row>
    <row r="190" spans="1:7" s="4" customFormat="1" ht="30" hidden="1">
      <c r="A190" s="15" t="s">
        <v>565</v>
      </c>
      <c r="B190" s="48" t="s">
        <v>566</v>
      </c>
      <c r="C190" s="417" t="s">
        <v>4</v>
      </c>
      <c r="D190" s="417">
        <v>0</v>
      </c>
      <c r="E190" s="415"/>
      <c r="F190" s="415">
        <f>D190*E190</f>
        <v>0</v>
      </c>
    </row>
    <row r="191" spans="1:7" s="4" customFormat="1" ht="15" hidden="1">
      <c r="A191" s="15"/>
      <c r="B191" s="48"/>
      <c r="C191" s="417"/>
      <c r="D191" s="416"/>
      <c r="E191" s="415"/>
      <c r="F191" s="415"/>
    </row>
    <row r="192" spans="1:7" s="4" customFormat="1" ht="15.6">
      <c r="A192" s="16" t="s">
        <v>567</v>
      </c>
      <c r="B192" s="47" t="s">
        <v>140</v>
      </c>
      <c r="C192" s="417"/>
      <c r="D192" s="416"/>
      <c r="E192" s="418"/>
      <c r="F192" s="415"/>
    </row>
    <row r="193" spans="1:7" s="4" customFormat="1" ht="30.6">
      <c r="A193" s="16" t="s">
        <v>568</v>
      </c>
      <c r="B193" s="48" t="s">
        <v>141</v>
      </c>
      <c r="C193" s="417" t="s">
        <v>4</v>
      </c>
      <c r="D193" s="416">
        <f>3*1.65*2.2*2+0.9*2.2*2</f>
        <v>25.74</v>
      </c>
      <c r="E193" s="415"/>
      <c r="F193" s="415">
        <f>D193*E193</f>
        <v>0</v>
      </c>
    </row>
    <row r="194" spans="1:7" s="4" customFormat="1" ht="15.6">
      <c r="A194" s="16" t="s">
        <v>569</v>
      </c>
      <c r="B194" s="47" t="s">
        <v>570</v>
      </c>
      <c r="C194" s="417"/>
      <c r="D194" s="416"/>
      <c r="E194" s="415"/>
      <c r="F194" s="415"/>
    </row>
    <row r="195" spans="1:7" s="4" customFormat="1" ht="15">
      <c r="A195" s="16" t="s">
        <v>571</v>
      </c>
      <c r="B195" s="48" t="s">
        <v>598</v>
      </c>
      <c r="C195" s="417" t="s">
        <v>4</v>
      </c>
      <c r="D195" s="416">
        <f>3*6*1.4+4*3*1.4*4</f>
        <v>92.399999999999991</v>
      </c>
      <c r="E195" s="415"/>
      <c r="F195" s="415">
        <f>D195*E195</f>
        <v>0</v>
      </c>
    </row>
    <row r="196" spans="1:7" s="4" customFormat="1" ht="15.6" thickBot="1">
      <c r="A196" s="16" t="s">
        <v>571</v>
      </c>
      <c r="B196" s="48" t="s">
        <v>142</v>
      </c>
      <c r="C196" s="417" t="s">
        <v>4</v>
      </c>
      <c r="D196" s="416">
        <f>3*6*1.4+4*3*1.4*4</f>
        <v>92.399999999999991</v>
      </c>
      <c r="E196" s="415"/>
      <c r="F196" s="415">
        <f>D196*E196</f>
        <v>0</v>
      </c>
    </row>
    <row r="197" spans="1:7" s="4" customFormat="1" ht="16.2" thickBot="1">
      <c r="A197" s="52"/>
      <c r="B197" s="468" t="s">
        <v>573</v>
      </c>
      <c r="C197" s="467"/>
      <c r="D197" s="466"/>
      <c r="E197" s="465"/>
      <c r="F197" s="464">
        <f>SUM(F183:F196)</f>
        <v>0</v>
      </c>
    </row>
    <row r="198" spans="1:7" s="306" customFormat="1" ht="22.95" customHeight="1">
      <c r="B198" s="463"/>
      <c r="C198" s="463"/>
      <c r="D198" s="463"/>
      <c r="E198" s="463"/>
      <c r="F198" s="463"/>
    </row>
    <row r="199" spans="1:7" ht="22.5" customHeight="1">
      <c r="A199" s="304"/>
      <c r="B199" s="310" t="s">
        <v>641</v>
      </c>
      <c r="C199" s="303"/>
      <c r="D199" s="308"/>
      <c r="E199" s="303"/>
      <c r="F199" s="311">
        <f>F11+F116+F127+F136+F140+F151+F158+F172+F180+F197</f>
        <v>0</v>
      </c>
    </row>
    <row r="200" spans="1:7" s="306" customFormat="1" ht="22.5" customHeight="1" thickBot="1">
      <c r="A200" s="305"/>
      <c r="B200" s="463"/>
      <c r="C200" s="461"/>
      <c r="D200" s="462"/>
      <c r="E200" s="461"/>
      <c r="F200" s="460"/>
    </row>
    <row r="201" spans="1:7" s="4" customFormat="1" ht="22.95" customHeight="1" thickBot="1">
      <c r="B201" s="524" t="s">
        <v>646</v>
      </c>
      <c r="C201" s="525"/>
      <c r="D201" s="525"/>
      <c r="E201" s="526"/>
      <c r="F201" s="459"/>
    </row>
    <row r="202" spans="1:7" s="4" customFormat="1" ht="13.2" customHeight="1" thickBot="1">
      <c r="B202" s="7"/>
      <c r="C202" s="458"/>
      <c r="D202" s="457"/>
      <c r="E202" s="456"/>
      <c r="F202" s="456"/>
    </row>
    <row r="203" spans="1:7" s="10" customFormat="1" ht="33" customHeight="1" thickBot="1">
      <c r="A203" s="455" t="s">
        <v>400</v>
      </c>
      <c r="B203" s="454" t="s">
        <v>70</v>
      </c>
      <c r="C203" s="411" t="s">
        <v>75</v>
      </c>
      <c r="D203" s="412" t="s">
        <v>76</v>
      </c>
      <c r="E203" s="453" t="s">
        <v>77</v>
      </c>
      <c r="F203" s="411" t="s">
        <v>78</v>
      </c>
      <c r="G203" s="452"/>
    </row>
    <row r="204" spans="1:7" s="4" customFormat="1" ht="15.6">
      <c r="A204" s="451">
        <v>1</v>
      </c>
      <c r="B204" s="11" t="s">
        <v>401</v>
      </c>
      <c r="C204" s="417"/>
      <c r="D204" s="428"/>
      <c r="E204" s="415"/>
      <c r="F204" s="427"/>
    </row>
    <row r="205" spans="1:7" s="4" customFormat="1" ht="15.6" thickBot="1">
      <c r="A205" s="15" t="s">
        <v>5</v>
      </c>
      <c r="B205" s="16" t="s">
        <v>402</v>
      </c>
      <c r="C205" s="417" t="s">
        <v>403</v>
      </c>
      <c r="D205" s="416">
        <v>0</v>
      </c>
      <c r="E205" s="442"/>
      <c r="F205" s="415">
        <f>D205*E205</f>
        <v>0</v>
      </c>
    </row>
    <row r="206" spans="1:7" s="4" customFormat="1" ht="16.2" thickBot="1">
      <c r="A206" s="18"/>
      <c r="B206" s="268" t="s">
        <v>404</v>
      </c>
      <c r="C206" s="411"/>
      <c r="D206" s="412"/>
      <c r="E206" s="450"/>
      <c r="F206" s="424">
        <f>F205</f>
        <v>0</v>
      </c>
    </row>
    <row r="207" spans="1:7" s="4" customFormat="1" ht="15.6">
      <c r="A207" s="14">
        <v>2</v>
      </c>
      <c r="B207" s="21" t="s">
        <v>405</v>
      </c>
      <c r="C207" s="436"/>
      <c r="D207" s="422"/>
      <c r="E207" s="421"/>
      <c r="F207" s="415"/>
    </row>
    <row r="208" spans="1:7" s="4" customFormat="1" ht="15">
      <c r="A208" s="15" t="s">
        <v>79</v>
      </c>
      <c r="B208" s="16" t="s">
        <v>80</v>
      </c>
      <c r="C208" s="417"/>
      <c r="D208" s="416"/>
      <c r="E208" s="415"/>
      <c r="F208" s="415"/>
    </row>
    <row r="209" spans="1:6" s="4" customFormat="1" ht="15">
      <c r="A209" s="15" t="s">
        <v>81</v>
      </c>
      <c r="B209" s="16" t="s">
        <v>406</v>
      </c>
      <c r="C209" s="417" t="s">
        <v>10</v>
      </c>
      <c r="D209" s="416">
        <v>0</v>
      </c>
      <c r="E209" s="415"/>
      <c r="F209" s="415">
        <f>D209*E209</f>
        <v>0</v>
      </c>
    </row>
    <row r="210" spans="1:6" s="4" customFormat="1" ht="17.399999999999999" customHeight="1">
      <c r="A210" s="15" t="s">
        <v>82</v>
      </c>
      <c r="B210" s="16" t="s">
        <v>83</v>
      </c>
      <c r="C210" s="417" t="s">
        <v>10</v>
      </c>
      <c r="D210" s="416">
        <v>0</v>
      </c>
      <c r="E210" s="415"/>
      <c r="F210" s="415">
        <f>D210*E210</f>
        <v>0</v>
      </c>
    </row>
    <row r="211" spans="1:6" s="4" customFormat="1" ht="17.399999999999999" customHeight="1" thickBot="1">
      <c r="A211" s="15" t="s">
        <v>84</v>
      </c>
      <c r="B211" s="16" t="s">
        <v>85</v>
      </c>
      <c r="C211" s="417" t="s">
        <v>10</v>
      </c>
      <c r="D211" s="416">
        <f>3*7.93*8.88*0.2*0</f>
        <v>0</v>
      </c>
      <c r="E211" s="415"/>
      <c r="F211" s="415">
        <f>D211*E211</f>
        <v>0</v>
      </c>
    </row>
    <row r="212" spans="1:6" s="4" customFormat="1" ht="17.399999999999999" customHeight="1" thickBot="1">
      <c r="A212" s="18"/>
      <c r="B212" s="445" t="s">
        <v>407</v>
      </c>
      <c r="C212" s="411"/>
      <c r="D212" s="412"/>
      <c r="E212" s="424"/>
      <c r="F212" s="424">
        <f>SUM(F209:F211)</f>
        <v>0</v>
      </c>
    </row>
    <row r="213" spans="1:6" s="4" customFormat="1" ht="17.399999999999999" customHeight="1">
      <c r="A213" s="24" t="s">
        <v>16</v>
      </c>
      <c r="B213" s="449" t="s">
        <v>292</v>
      </c>
      <c r="C213" s="423"/>
      <c r="D213" s="428"/>
      <c r="E213" s="427"/>
      <c r="F213" s="415"/>
    </row>
    <row r="214" spans="1:6" s="4" customFormat="1" ht="17.399999999999999" customHeight="1">
      <c r="A214" s="26" t="s">
        <v>17</v>
      </c>
      <c r="B214" s="27" t="s">
        <v>408</v>
      </c>
      <c r="C214" s="417"/>
      <c r="D214" s="416"/>
      <c r="E214" s="415"/>
      <c r="F214" s="415"/>
    </row>
    <row r="215" spans="1:6" s="4" customFormat="1" ht="17.399999999999999" customHeight="1">
      <c r="A215" s="28" t="s">
        <v>86</v>
      </c>
      <c r="B215" s="29" t="s">
        <v>87</v>
      </c>
      <c r="C215" s="417" t="s">
        <v>10</v>
      </c>
      <c r="D215" s="416">
        <v>0</v>
      </c>
      <c r="E215" s="415"/>
      <c r="F215" s="415">
        <f>D215*E215</f>
        <v>0</v>
      </c>
    </row>
    <row r="216" spans="1:6" s="4" customFormat="1" ht="17.399999999999999" customHeight="1">
      <c r="A216" s="28" t="s">
        <v>88</v>
      </c>
      <c r="B216" s="29" t="s">
        <v>409</v>
      </c>
      <c r="C216" s="417"/>
      <c r="D216" s="416"/>
      <c r="E216" s="415"/>
      <c r="F216" s="415"/>
    </row>
    <row r="217" spans="1:6" s="4" customFormat="1" ht="17.399999999999999" customHeight="1">
      <c r="A217" s="28" t="s">
        <v>190</v>
      </c>
      <c r="B217" s="29" t="s">
        <v>20</v>
      </c>
      <c r="C217" s="417" t="s">
        <v>10</v>
      </c>
      <c r="D217" s="416">
        <v>0</v>
      </c>
      <c r="E217" s="415"/>
      <c r="F217" s="415">
        <f>D217*E217</f>
        <v>0</v>
      </c>
    </row>
    <row r="218" spans="1:6" s="4" customFormat="1" ht="17.399999999999999" customHeight="1">
      <c r="A218" s="28" t="s">
        <v>410</v>
      </c>
      <c r="B218" s="29" t="s">
        <v>411</v>
      </c>
      <c r="C218" s="417" t="s">
        <v>23</v>
      </c>
      <c r="D218" s="416">
        <f>D217*40</f>
        <v>0</v>
      </c>
      <c r="E218" s="415"/>
      <c r="F218" s="415">
        <f>D218*E218</f>
        <v>0</v>
      </c>
    </row>
    <row r="219" spans="1:6" s="4" customFormat="1" ht="17.399999999999999" customHeight="1">
      <c r="A219" s="28" t="s">
        <v>412</v>
      </c>
      <c r="B219" s="29" t="s">
        <v>413</v>
      </c>
      <c r="C219" s="417" t="s">
        <v>4</v>
      </c>
      <c r="D219" s="416">
        <v>0</v>
      </c>
      <c r="E219" s="415"/>
      <c r="F219" s="415">
        <f>D219*E219</f>
        <v>0</v>
      </c>
    </row>
    <row r="220" spans="1:6" s="4" customFormat="1" ht="30" customHeight="1">
      <c r="A220" s="28" t="s">
        <v>89</v>
      </c>
      <c r="B220" s="51" t="s">
        <v>414</v>
      </c>
      <c r="C220" s="417"/>
      <c r="D220" s="416"/>
      <c r="E220" s="415"/>
      <c r="F220" s="415"/>
    </row>
    <row r="221" spans="1:6" s="4" customFormat="1" ht="17.399999999999999" customHeight="1">
      <c r="A221" s="28" t="s">
        <v>193</v>
      </c>
      <c r="B221" s="29" t="s">
        <v>20</v>
      </c>
      <c r="C221" s="417" t="s">
        <v>10</v>
      </c>
      <c r="D221" s="416">
        <v>0</v>
      </c>
      <c r="E221" s="415"/>
      <c r="F221" s="415">
        <f>D221*E221</f>
        <v>0</v>
      </c>
    </row>
    <row r="222" spans="1:6" s="4" customFormat="1" ht="17.399999999999999" customHeight="1">
      <c r="A222" s="28" t="s">
        <v>191</v>
      </c>
      <c r="B222" s="29" t="s">
        <v>351</v>
      </c>
      <c r="C222" s="417" t="s">
        <v>23</v>
      </c>
      <c r="D222" s="416">
        <f>D221*80</f>
        <v>0</v>
      </c>
      <c r="E222" s="415"/>
      <c r="F222" s="415">
        <f>D222*E222</f>
        <v>0</v>
      </c>
    </row>
    <row r="223" spans="1:6" s="4" customFormat="1" ht="17.399999999999999" customHeight="1">
      <c r="A223" s="28" t="s">
        <v>194</v>
      </c>
      <c r="B223" s="29" t="s">
        <v>21</v>
      </c>
      <c r="C223" s="417" t="s">
        <v>4</v>
      </c>
      <c r="D223" s="416">
        <f>D221*12</f>
        <v>0</v>
      </c>
      <c r="E223" s="415"/>
      <c r="F223" s="415">
        <f>D223*E223</f>
        <v>0</v>
      </c>
    </row>
    <row r="224" spans="1:6" s="4" customFormat="1" ht="17.399999999999999" customHeight="1">
      <c r="A224" s="28" t="s">
        <v>90</v>
      </c>
      <c r="B224" s="29" t="s">
        <v>415</v>
      </c>
      <c r="C224" s="417"/>
      <c r="D224" s="416"/>
      <c r="E224" s="415"/>
      <c r="F224" s="415"/>
    </row>
    <row r="225" spans="1:7" s="4" customFormat="1" ht="17.399999999999999" customHeight="1">
      <c r="A225" s="28" t="s">
        <v>196</v>
      </c>
      <c r="B225" s="29" t="s">
        <v>20</v>
      </c>
      <c r="C225" s="417" t="s">
        <v>10</v>
      </c>
      <c r="D225" s="416">
        <v>0</v>
      </c>
      <c r="E225" s="415"/>
      <c r="F225" s="415">
        <f>D225*E225</f>
        <v>0</v>
      </c>
    </row>
    <row r="226" spans="1:7" s="4" customFormat="1" ht="15">
      <c r="A226" s="28" t="s">
        <v>197</v>
      </c>
      <c r="B226" s="29" t="s">
        <v>22</v>
      </c>
      <c r="C226" s="417" t="s">
        <v>23</v>
      </c>
      <c r="D226" s="416">
        <f>D225*80</f>
        <v>0</v>
      </c>
      <c r="E226" s="415"/>
      <c r="F226" s="415">
        <f>D226*E226</f>
        <v>0</v>
      </c>
    </row>
    <row r="227" spans="1:7" s="4" customFormat="1" ht="15">
      <c r="A227" s="28" t="s">
        <v>198</v>
      </c>
      <c r="B227" s="29" t="s">
        <v>21</v>
      </c>
      <c r="C227" s="417" t="s">
        <v>4</v>
      </c>
      <c r="D227" s="416">
        <f>D225*12</f>
        <v>0</v>
      </c>
      <c r="E227" s="415"/>
      <c r="F227" s="415">
        <f>D227*E227</f>
        <v>0</v>
      </c>
    </row>
    <row r="228" spans="1:7" s="4" customFormat="1" ht="15">
      <c r="A228" s="28" t="s">
        <v>91</v>
      </c>
      <c r="B228" s="29" t="s">
        <v>416</v>
      </c>
      <c r="C228" s="417" t="s">
        <v>4</v>
      </c>
      <c r="D228" s="416">
        <v>0</v>
      </c>
      <c r="E228" s="415"/>
      <c r="F228" s="415">
        <f>D228*E228</f>
        <v>0</v>
      </c>
    </row>
    <row r="229" spans="1:7" s="30" customFormat="1" ht="15">
      <c r="A229" s="28" t="s">
        <v>92</v>
      </c>
      <c r="B229" s="29" t="s">
        <v>417</v>
      </c>
      <c r="C229" s="417"/>
      <c r="D229" s="416"/>
      <c r="E229" s="415"/>
      <c r="F229" s="415"/>
      <c r="G229" s="4"/>
    </row>
    <row r="230" spans="1:7" s="30" customFormat="1" ht="15">
      <c r="A230" s="28" t="s">
        <v>201</v>
      </c>
      <c r="B230" s="31" t="s">
        <v>418</v>
      </c>
      <c r="C230" s="417" t="s">
        <v>4</v>
      </c>
      <c r="D230" s="416">
        <f>8.88*7.933+1.8*27.24</f>
        <v>119.47704</v>
      </c>
      <c r="E230" s="415"/>
      <c r="F230" s="415">
        <f>D230*E230</f>
        <v>0</v>
      </c>
      <c r="G230" s="4"/>
    </row>
    <row r="231" spans="1:7" s="4" customFormat="1" ht="15">
      <c r="A231" s="28" t="s">
        <v>419</v>
      </c>
      <c r="B231" s="31" t="s">
        <v>420</v>
      </c>
      <c r="C231" s="447" t="s">
        <v>10</v>
      </c>
      <c r="D231" s="443">
        <f>D230*0.1</f>
        <v>11.947704000000002</v>
      </c>
      <c r="E231" s="442"/>
      <c r="F231" s="415">
        <f>D231*E231</f>
        <v>0</v>
      </c>
    </row>
    <row r="232" spans="1:7" s="4" customFormat="1" ht="15">
      <c r="A232" s="28" t="s">
        <v>421</v>
      </c>
      <c r="B232" s="29" t="s">
        <v>422</v>
      </c>
      <c r="C232" s="417" t="s">
        <v>23</v>
      </c>
      <c r="D232" s="416">
        <f>D230*3</f>
        <v>358.43112000000002</v>
      </c>
      <c r="E232" s="415"/>
      <c r="F232" s="415">
        <f>D232*E232</f>
        <v>0</v>
      </c>
    </row>
    <row r="233" spans="1:7" s="4" customFormat="1" ht="15">
      <c r="A233" s="28" t="s">
        <v>423</v>
      </c>
      <c r="B233" s="29" t="s">
        <v>93</v>
      </c>
      <c r="C233" s="417" t="s">
        <v>4</v>
      </c>
      <c r="D233" s="416">
        <f>D230</f>
        <v>119.47704</v>
      </c>
      <c r="E233" s="415"/>
      <c r="F233" s="415">
        <f>D233*E233</f>
        <v>0</v>
      </c>
    </row>
    <row r="234" spans="1:7" s="4" customFormat="1" ht="15.6">
      <c r="A234" s="28" t="s">
        <v>94</v>
      </c>
      <c r="B234" s="42" t="s">
        <v>95</v>
      </c>
      <c r="C234" s="417"/>
      <c r="D234" s="417"/>
      <c r="E234" s="415"/>
      <c r="F234" s="415"/>
    </row>
    <row r="235" spans="1:7" s="4" customFormat="1" ht="45">
      <c r="A235" s="28" t="s">
        <v>424</v>
      </c>
      <c r="B235" s="34" t="s">
        <v>425</v>
      </c>
      <c r="C235" s="417" t="s">
        <v>4</v>
      </c>
      <c r="D235" s="417">
        <f>28.24*0.44*2</f>
        <v>24.851199999999999</v>
      </c>
      <c r="E235" s="415"/>
      <c r="F235" s="415">
        <f>D235*E235</f>
        <v>0</v>
      </c>
    </row>
    <row r="236" spans="1:7" s="4" customFormat="1" ht="15">
      <c r="A236" s="28" t="s">
        <v>426</v>
      </c>
      <c r="B236" s="31" t="s">
        <v>96</v>
      </c>
      <c r="C236" s="417" t="s">
        <v>10</v>
      </c>
      <c r="D236" s="417">
        <f>(28.24)*0.4*0.4</f>
        <v>4.5183999999999997</v>
      </c>
      <c r="E236" s="415"/>
      <c r="F236" s="415">
        <f>D236*E236</f>
        <v>0</v>
      </c>
    </row>
    <row r="237" spans="1:7" s="4" customFormat="1" ht="15">
      <c r="A237" s="28" t="s">
        <v>427</v>
      </c>
      <c r="B237" s="31" t="s">
        <v>97</v>
      </c>
      <c r="C237" s="417" t="s">
        <v>10</v>
      </c>
      <c r="D237" s="417">
        <f>(28.24)*0.4*0.1</f>
        <v>1.1295999999999999</v>
      </c>
      <c r="E237" s="415"/>
      <c r="F237" s="415">
        <f>D237*E237</f>
        <v>0</v>
      </c>
    </row>
    <row r="238" spans="1:7" s="4" customFormat="1" ht="15.6">
      <c r="A238" s="28" t="s">
        <v>94</v>
      </c>
      <c r="B238" s="42" t="s">
        <v>428</v>
      </c>
      <c r="C238" s="417"/>
      <c r="D238" s="417"/>
      <c r="E238" s="415"/>
      <c r="F238" s="415"/>
    </row>
    <row r="239" spans="1:7" s="4" customFormat="1" ht="45">
      <c r="A239" s="28" t="s">
        <v>424</v>
      </c>
      <c r="B239" s="34" t="s">
        <v>429</v>
      </c>
      <c r="C239" s="417" t="s">
        <v>4</v>
      </c>
      <c r="D239" s="417">
        <f>27.24*1.5</f>
        <v>40.86</v>
      </c>
      <c r="E239" s="415"/>
      <c r="F239" s="415">
        <f>D239*E239</f>
        <v>0</v>
      </c>
    </row>
    <row r="240" spans="1:7" s="4" customFormat="1" ht="15.6">
      <c r="A240" s="26" t="s">
        <v>24</v>
      </c>
      <c r="B240" s="27" t="s">
        <v>430</v>
      </c>
      <c r="C240" s="436"/>
      <c r="D240" s="416"/>
      <c r="E240" s="418"/>
      <c r="F240" s="415"/>
    </row>
    <row r="241" spans="1:6" s="4" customFormat="1" ht="15">
      <c r="A241" s="28" t="s">
        <v>26</v>
      </c>
      <c r="B241" s="29" t="s">
        <v>431</v>
      </c>
      <c r="C241" s="417" t="s">
        <v>4</v>
      </c>
      <c r="D241" s="416">
        <f>(10.18*0.6*2+7.93*0.6*2)</f>
        <v>21.731999999999999</v>
      </c>
      <c r="E241" s="415"/>
      <c r="F241" s="415">
        <f>D241*E241</f>
        <v>0</v>
      </c>
    </row>
    <row r="242" spans="1:6" s="4" customFormat="1" ht="15">
      <c r="A242" s="28" t="s">
        <v>26</v>
      </c>
      <c r="B242" s="29" t="s">
        <v>432</v>
      </c>
      <c r="C242" s="417" t="s">
        <v>4</v>
      </c>
      <c r="D242" s="416">
        <f>((10.18*2+7.93*2+27.24*3)*0.66+2*10.18*1+7.93*1*2)</f>
        <v>114.0604</v>
      </c>
      <c r="E242" s="415"/>
      <c r="F242" s="415">
        <f>D242*E242</f>
        <v>0</v>
      </c>
    </row>
    <row r="243" spans="1:6" s="4" customFormat="1" ht="15">
      <c r="A243" s="28" t="s">
        <v>26</v>
      </c>
      <c r="B243" s="29" t="s">
        <v>433</v>
      </c>
      <c r="C243" s="417" t="s">
        <v>182</v>
      </c>
      <c r="D243" s="416">
        <v>1</v>
      </c>
      <c r="E243" s="415"/>
      <c r="F243" s="415">
        <f>D243*E243</f>
        <v>0</v>
      </c>
    </row>
    <row r="244" spans="1:6" s="4" customFormat="1" ht="15">
      <c r="A244" s="28" t="s">
        <v>373</v>
      </c>
      <c r="B244" s="29" t="s">
        <v>434</v>
      </c>
      <c r="C244" s="417" t="s">
        <v>4</v>
      </c>
      <c r="D244" s="416">
        <f>20*3*0.2*4</f>
        <v>48</v>
      </c>
      <c r="E244" s="415"/>
      <c r="F244" s="415">
        <f>D244*E244</f>
        <v>0</v>
      </c>
    </row>
    <row r="245" spans="1:6" s="4" customFormat="1" ht="30">
      <c r="A245" s="28" t="s">
        <v>374</v>
      </c>
      <c r="B245" s="51" t="s">
        <v>647</v>
      </c>
      <c r="C245" s="417"/>
      <c r="D245" s="416"/>
      <c r="E245" s="415"/>
      <c r="F245" s="415"/>
    </row>
    <row r="246" spans="1:6" s="4" customFormat="1" ht="15">
      <c r="A246" s="28" t="s">
        <v>435</v>
      </c>
      <c r="B246" s="29" t="s">
        <v>20</v>
      </c>
      <c r="C246" s="417" t="s">
        <v>10</v>
      </c>
      <c r="D246" s="416">
        <f>30*4*0.15*0.2</f>
        <v>3.6</v>
      </c>
      <c r="E246" s="415"/>
      <c r="F246" s="415">
        <f>D246*E246</f>
        <v>0</v>
      </c>
    </row>
    <row r="247" spans="1:6" s="4" customFormat="1" ht="15">
      <c r="A247" s="28" t="s">
        <v>436</v>
      </c>
      <c r="B247" s="29" t="s">
        <v>22</v>
      </c>
      <c r="C247" s="417" t="s">
        <v>23</v>
      </c>
      <c r="D247" s="416">
        <f>D246*80</f>
        <v>288</v>
      </c>
      <c r="E247" s="415"/>
      <c r="F247" s="415">
        <f>D247*E247</f>
        <v>0</v>
      </c>
    </row>
    <row r="248" spans="1:6" s="4" customFormat="1" ht="15">
      <c r="A248" s="28" t="s">
        <v>437</v>
      </c>
      <c r="B248" s="29" t="s">
        <v>21</v>
      </c>
      <c r="C248" s="417" t="s">
        <v>4</v>
      </c>
      <c r="D248" s="416">
        <f>D246*12</f>
        <v>43.2</v>
      </c>
      <c r="E248" s="415"/>
      <c r="F248" s="415">
        <f>D248*E248</f>
        <v>0</v>
      </c>
    </row>
    <row r="249" spans="1:6" s="4" customFormat="1" ht="15">
      <c r="A249" s="28" t="s">
        <v>27</v>
      </c>
      <c r="B249" s="29" t="s">
        <v>99</v>
      </c>
      <c r="C249" s="417"/>
      <c r="D249" s="416"/>
      <c r="E249" s="415"/>
      <c r="F249" s="415"/>
    </row>
    <row r="250" spans="1:6" s="4" customFormat="1" ht="15">
      <c r="A250" s="28" t="s">
        <v>209</v>
      </c>
      <c r="B250" s="29" t="s">
        <v>20</v>
      </c>
      <c r="C250" s="417" t="s">
        <v>10</v>
      </c>
      <c r="D250" s="416">
        <v>0</v>
      </c>
      <c r="E250" s="415"/>
      <c r="F250" s="415">
        <f t="shared" ref="F250:F256" si="4">D250*E250</f>
        <v>0</v>
      </c>
    </row>
    <row r="251" spans="1:6" s="4" customFormat="1" ht="15">
      <c r="A251" s="28" t="s">
        <v>210</v>
      </c>
      <c r="B251" s="29" t="s">
        <v>22</v>
      </c>
      <c r="C251" s="417" t="s">
        <v>23</v>
      </c>
      <c r="D251" s="416">
        <f>D250*80</f>
        <v>0</v>
      </c>
      <c r="E251" s="415"/>
      <c r="F251" s="415">
        <f t="shared" si="4"/>
        <v>0</v>
      </c>
    </row>
    <row r="252" spans="1:6" s="4" customFormat="1" ht="15">
      <c r="A252" s="28" t="s">
        <v>211</v>
      </c>
      <c r="B252" s="29" t="s">
        <v>100</v>
      </c>
      <c r="C252" s="417" t="s">
        <v>4</v>
      </c>
      <c r="D252" s="416">
        <f>D250*2</f>
        <v>0</v>
      </c>
      <c r="E252" s="415"/>
      <c r="F252" s="415">
        <f t="shared" si="4"/>
        <v>0</v>
      </c>
    </row>
    <row r="253" spans="1:6" s="4" customFormat="1" ht="15" hidden="1">
      <c r="A253" s="28" t="s">
        <v>101</v>
      </c>
      <c r="B253" s="29" t="s">
        <v>438</v>
      </c>
      <c r="C253" s="417"/>
      <c r="D253" s="416"/>
      <c r="E253" s="415"/>
      <c r="F253" s="415">
        <f t="shared" si="4"/>
        <v>0</v>
      </c>
    </row>
    <row r="254" spans="1:6" s="4" customFormat="1" ht="15" hidden="1">
      <c r="A254" s="28" t="s">
        <v>439</v>
      </c>
      <c r="B254" s="29" t="s">
        <v>20</v>
      </c>
      <c r="C254" s="417" t="s">
        <v>10</v>
      </c>
      <c r="D254" s="416">
        <v>0</v>
      </c>
      <c r="E254" s="415"/>
      <c r="F254" s="415">
        <f t="shared" si="4"/>
        <v>0</v>
      </c>
    </row>
    <row r="255" spans="1:6" s="4" customFormat="1" ht="15" hidden="1">
      <c r="A255" s="28" t="s">
        <v>440</v>
      </c>
      <c r="B255" s="29" t="s">
        <v>441</v>
      </c>
      <c r="C255" s="417" t="s">
        <v>23</v>
      </c>
      <c r="D255" s="416">
        <v>0</v>
      </c>
      <c r="E255" s="415"/>
      <c r="F255" s="415">
        <f t="shared" si="4"/>
        <v>0</v>
      </c>
    </row>
    <row r="256" spans="1:6" s="4" customFormat="1" ht="15" hidden="1">
      <c r="A256" s="28" t="s">
        <v>442</v>
      </c>
      <c r="B256" s="29" t="s">
        <v>100</v>
      </c>
      <c r="C256" s="417" t="s">
        <v>4</v>
      </c>
      <c r="D256" s="416">
        <v>0</v>
      </c>
      <c r="E256" s="415"/>
      <c r="F256" s="415">
        <f t="shared" si="4"/>
        <v>0</v>
      </c>
    </row>
    <row r="257" spans="1:6" s="4" customFormat="1" ht="15">
      <c r="A257" s="28" t="s">
        <v>28</v>
      </c>
      <c r="B257" s="29" t="s">
        <v>443</v>
      </c>
      <c r="C257" s="417"/>
      <c r="D257" s="416"/>
      <c r="E257" s="415"/>
      <c r="F257" s="415"/>
    </row>
    <row r="258" spans="1:6" s="4" customFormat="1" ht="15">
      <c r="A258" s="28"/>
      <c r="B258" s="29" t="s">
        <v>444</v>
      </c>
      <c r="C258" s="417"/>
      <c r="D258" s="416"/>
      <c r="E258" s="415"/>
      <c r="F258" s="415"/>
    </row>
    <row r="259" spans="1:6" s="40" customFormat="1" ht="15">
      <c r="A259" s="86" t="s">
        <v>445</v>
      </c>
      <c r="B259" s="31" t="s">
        <v>20</v>
      </c>
      <c r="C259" s="447" t="s">
        <v>10</v>
      </c>
      <c r="D259" s="443">
        <f>10*4*0.15*0.1</f>
        <v>0.60000000000000009</v>
      </c>
      <c r="E259" s="442"/>
      <c r="F259" s="442">
        <f t="shared" ref="F259:F265" si="5">D259*E259</f>
        <v>0</v>
      </c>
    </row>
    <row r="260" spans="1:6" s="4" customFormat="1" ht="15">
      <c r="A260" s="28" t="s">
        <v>446</v>
      </c>
      <c r="B260" s="29" t="s">
        <v>22</v>
      </c>
      <c r="C260" s="417" t="s">
        <v>23</v>
      </c>
      <c r="D260" s="416">
        <f>D259*80</f>
        <v>48.000000000000007</v>
      </c>
      <c r="E260" s="415"/>
      <c r="F260" s="415">
        <f t="shared" si="5"/>
        <v>0</v>
      </c>
    </row>
    <row r="261" spans="1:6" s="4" customFormat="1" ht="15">
      <c r="A261" s="28" t="s">
        <v>447</v>
      </c>
      <c r="B261" s="29" t="s">
        <v>100</v>
      </c>
      <c r="C261" s="417" t="s">
        <v>4</v>
      </c>
      <c r="D261" s="416">
        <f>D259*2</f>
        <v>1.2000000000000002</v>
      </c>
      <c r="E261" s="415"/>
      <c r="F261" s="415">
        <f t="shared" si="5"/>
        <v>0</v>
      </c>
    </row>
    <row r="262" spans="1:6" s="4" customFormat="1" ht="15" hidden="1">
      <c r="A262" s="28" t="s">
        <v>29</v>
      </c>
      <c r="B262" s="29" t="s">
        <v>448</v>
      </c>
      <c r="C262" s="417"/>
      <c r="D262" s="416"/>
      <c r="E262" s="415"/>
      <c r="F262" s="415">
        <f t="shared" si="5"/>
        <v>0</v>
      </c>
    </row>
    <row r="263" spans="1:6" s="4" customFormat="1" ht="15" hidden="1">
      <c r="A263" s="28" t="s">
        <v>213</v>
      </c>
      <c r="B263" s="29" t="s">
        <v>20</v>
      </c>
      <c r="C263" s="417" t="s">
        <v>10</v>
      </c>
      <c r="D263" s="416">
        <v>0</v>
      </c>
      <c r="E263" s="415"/>
      <c r="F263" s="415">
        <f t="shared" si="5"/>
        <v>0</v>
      </c>
    </row>
    <row r="264" spans="1:6" s="4" customFormat="1" ht="15" hidden="1">
      <c r="A264" s="28" t="s">
        <v>214</v>
      </c>
      <c r="B264" s="29" t="s">
        <v>22</v>
      </c>
      <c r="C264" s="417" t="s">
        <v>23</v>
      </c>
      <c r="D264" s="416">
        <v>0</v>
      </c>
      <c r="E264" s="415"/>
      <c r="F264" s="415">
        <f t="shared" si="5"/>
        <v>0</v>
      </c>
    </row>
    <row r="265" spans="1:6" s="4" customFormat="1" ht="15.6" hidden="1" thickBot="1">
      <c r="A265" s="35" t="s">
        <v>215</v>
      </c>
      <c r="B265" s="448" t="s">
        <v>100</v>
      </c>
      <c r="C265" s="439" t="s">
        <v>4</v>
      </c>
      <c r="D265" s="416">
        <v>0</v>
      </c>
      <c r="E265" s="415"/>
      <c r="F265" s="415">
        <f t="shared" si="5"/>
        <v>0</v>
      </c>
    </row>
    <row r="266" spans="1:6" s="4" customFormat="1" ht="15">
      <c r="A266" s="28" t="s">
        <v>216</v>
      </c>
      <c r="B266" s="29" t="s">
        <v>33</v>
      </c>
      <c r="C266" s="417"/>
      <c r="D266" s="416"/>
      <c r="E266" s="415"/>
      <c r="F266" s="415"/>
    </row>
    <row r="267" spans="1:6" s="4" customFormat="1" ht="15">
      <c r="A267" s="28" t="s">
        <v>217</v>
      </c>
      <c r="B267" s="29" t="s">
        <v>449</v>
      </c>
      <c r="C267" s="417" t="s">
        <v>4</v>
      </c>
      <c r="D267" s="416">
        <f>(29*2+7*2)*3.5</f>
        <v>252</v>
      </c>
      <c r="E267" s="415"/>
      <c r="F267" s="415">
        <f>D267*E267</f>
        <v>0</v>
      </c>
    </row>
    <row r="268" spans="1:6" s="4" customFormat="1" ht="15">
      <c r="A268" s="28" t="s">
        <v>450</v>
      </c>
      <c r="B268" s="29" t="s">
        <v>451</v>
      </c>
      <c r="C268" s="417" t="s">
        <v>4</v>
      </c>
      <c r="D268" s="416">
        <f>(29*2+7*6)*3.5</f>
        <v>350</v>
      </c>
      <c r="E268" s="415"/>
      <c r="F268" s="415">
        <f>D268*E268</f>
        <v>0</v>
      </c>
    </row>
    <row r="269" spans="1:6" s="4" customFormat="1" ht="15">
      <c r="A269" s="28" t="s">
        <v>452</v>
      </c>
      <c r="B269" s="29" t="s">
        <v>103</v>
      </c>
      <c r="C269" s="417"/>
      <c r="D269" s="416"/>
      <c r="E269" s="415"/>
      <c r="F269" s="415"/>
    </row>
    <row r="270" spans="1:6" s="40" customFormat="1" ht="15">
      <c r="A270" s="86"/>
      <c r="B270" s="31" t="s">
        <v>453</v>
      </c>
      <c r="C270" s="447" t="s">
        <v>4</v>
      </c>
      <c r="D270" s="443">
        <f>16*1</f>
        <v>16</v>
      </c>
      <c r="E270" s="442"/>
      <c r="F270" s="442">
        <f>D270*E270</f>
        <v>0</v>
      </c>
    </row>
    <row r="271" spans="1:6" s="4" customFormat="1" ht="17.399999999999999">
      <c r="A271" s="28" t="s">
        <v>452</v>
      </c>
      <c r="B271" s="29" t="s">
        <v>454</v>
      </c>
      <c r="C271" s="417" t="s">
        <v>104</v>
      </c>
      <c r="D271" s="416">
        <f>4*2.5*1.2*3</f>
        <v>36</v>
      </c>
      <c r="E271" s="415"/>
      <c r="F271" s="415">
        <f>D271*E271</f>
        <v>0</v>
      </c>
    </row>
    <row r="272" spans="1:6" s="4" customFormat="1" ht="15.6">
      <c r="A272" s="26" t="s">
        <v>6</v>
      </c>
      <c r="B272" s="27" t="s">
        <v>34</v>
      </c>
      <c r="C272" s="417"/>
      <c r="D272" s="416"/>
      <c r="E272" s="415"/>
      <c r="F272" s="415"/>
    </row>
    <row r="273" spans="1:6" s="4" customFormat="1" ht="15">
      <c r="A273" s="28" t="s">
        <v>221</v>
      </c>
      <c r="B273" s="29" t="s">
        <v>455</v>
      </c>
      <c r="C273" s="417" t="s">
        <v>9</v>
      </c>
      <c r="D273" s="416">
        <v>3</v>
      </c>
      <c r="E273" s="415"/>
      <c r="F273" s="415">
        <f>D273*E273</f>
        <v>0</v>
      </c>
    </row>
    <row r="274" spans="1:6" s="4" customFormat="1" ht="15">
      <c r="A274" s="28" t="s">
        <v>221</v>
      </c>
      <c r="B274" s="29" t="s">
        <v>456</v>
      </c>
      <c r="C274" s="417" t="s">
        <v>9</v>
      </c>
      <c r="D274" s="416">
        <v>3</v>
      </c>
      <c r="E274" s="415"/>
      <c r="F274" s="415">
        <f>D274*E274</f>
        <v>0</v>
      </c>
    </row>
    <row r="275" spans="1:6" s="4" customFormat="1" ht="15.6">
      <c r="A275" s="28" t="s">
        <v>30</v>
      </c>
      <c r="B275" s="27" t="s">
        <v>35</v>
      </c>
      <c r="C275" s="417"/>
      <c r="D275" s="416"/>
      <c r="E275" s="415"/>
      <c r="F275" s="415"/>
    </row>
    <row r="276" spans="1:6" s="4" customFormat="1" ht="15">
      <c r="A276" s="28" t="s">
        <v>457</v>
      </c>
      <c r="B276" s="29" t="s">
        <v>458</v>
      </c>
      <c r="C276" s="417" t="s">
        <v>182</v>
      </c>
      <c r="D276" s="416">
        <v>0</v>
      </c>
      <c r="E276" s="415"/>
      <c r="F276" s="415">
        <f>D276*E276</f>
        <v>0</v>
      </c>
    </row>
    <row r="277" spans="1:6" s="4" customFormat="1" ht="15">
      <c r="A277" s="28" t="s">
        <v>457</v>
      </c>
      <c r="B277" s="29" t="s">
        <v>105</v>
      </c>
      <c r="C277" s="417" t="s">
        <v>10</v>
      </c>
      <c r="D277" s="446">
        <v>1.5</v>
      </c>
      <c r="E277" s="415"/>
      <c r="F277" s="415">
        <f>D277*E277</f>
        <v>0</v>
      </c>
    </row>
    <row r="278" spans="1:6" s="4" customFormat="1" ht="15">
      <c r="A278" s="28" t="s">
        <v>459</v>
      </c>
      <c r="B278" s="16" t="s">
        <v>460</v>
      </c>
      <c r="C278" s="417" t="s">
        <v>10</v>
      </c>
      <c r="D278" s="446">
        <v>1.718</v>
      </c>
      <c r="E278" s="415"/>
      <c r="F278" s="415">
        <f>D278*E278</f>
        <v>0</v>
      </c>
    </row>
    <row r="279" spans="1:6" s="4" customFormat="1" ht="15">
      <c r="A279" s="28" t="s">
        <v>461</v>
      </c>
      <c r="B279" s="29" t="s">
        <v>87</v>
      </c>
      <c r="C279" s="417" t="s">
        <v>10</v>
      </c>
      <c r="D279" s="446">
        <v>0.96799999999999997</v>
      </c>
      <c r="E279" s="415"/>
      <c r="F279" s="415">
        <f>D279*E279</f>
        <v>0</v>
      </c>
    </row>
    <row r="280" spans="1:6" s="4" customFormat="1" ht="15">
      <c r="A280" s="28" t="s">
        <v>223</v>
      </c>
      <c r="B280" s="29" t="s">
        <v>106</v>
      </c>
      <c r="C280" s="417" t="s">
        <v>4</v>
      </c>
      <c r="D280" s="446">
        <v>19.350000000000001</v>
      </c>
      <c r="E280" s="415"/>
      <c r="F280" s="415">
        <f>D280*E280</f>
        <v>0</v>
      </c>
    </row>
    <row r="281" spans="1:6" s="4" customFormat="1" ht="15">
      <c r="A281" s="28" t="s">
        <v>462</v>
      </c>
      <c r="B281" s="29" t="s">
        <v>463</v>
      </c>
      <c r="C281" s="417"/>
      <c r="D281" s="446"/>
      <c r="E281" s="415"/>
      <c r="F281" s="415"/>
    </row>
    <row r="282" spans="1:6" s="4" customFormat="1" ht="15">
      <c r="A282" s="28" t="s">
        <v>464</v>
      </c>
      <c r="B282" s="29" t="s">
        <v>20</v>
      </c>
      <c r="C282" s="417" t="s">
        <v>10</v>
      </c>
      <c r="D282" s="446">
        <v>1.292</v>
      </c>
      <c r="E282" s="415"/>
      <c r="F282" s="415">
        <f>D282*E282</f>
        <v>0</v>
      </c>
    </row>
    <row r="283" spans="1:6" s="4" customFormat="1" ht="15">
      <c r="A283" s="28" t="s">
        <v>465</v>
      </c>
      <c r="B283" s="29" t="s">
        <v>100</v>
      </c>
      <c r="C283" s="417" t="s">
        <v>4</v>
      </c>
      <c r="D283" s="446">
        <v>2.58</v>
      </c>
      <c r="E283" s="415"/>
      <c r="F283" s="415">
        <f>D283*E283</f>
        <v>0</v>
      </c>
    </row>
    <row r="284" spans="1:6" s="4" customFormat="1" ht="15">
      <c r="A284" s="28" t="s">
        <v>466</v>
      </c>
      <c r="B284" s="29" t="s">
        <v>467</v>
      </c>
      <c r="C284" s="417" t="s">
        <v>4</v>
      </c>
      <c r="D284" s="446">
        <v>7.09</v>
      </c>
      <c r="E284" s="415"/>
      <c r="F284" s="415">
        <f>D284*E284</f>
        <v>0</v>
      </c>
    </row>
    <row r="285" spans="1:6" s="4" customFormat="1" ht="15.6">
      <c r="A285" s="28" t="s">
        <v>31</v>
      </c>
      <c r="B285" s="27" t="s">
        <v>36</v>
      </c>
      <c r="C285" s="417"/>
      <c r="D285" s="416"/>
      <c r="E285" s="415"/>
      <c r="F285" s="415"/>
    </row>
    <row r="286" spans="1:6" s="4" customFormat="1" ht="15">
      <c r="A286" s="28" t="s">
        <v>468</v>
      </c>
      <c r="B286" s="29" t="s">
        <v>105</v>
      </c>
      <c r="C286" s="417" t="s">
        <v>10</v>
      </c>
      <c r="D286" s="416">
        <f>2*2.2*2*0.3</f>
        <v>2.64</v>
      </c>
      <c r="E286" s="415"/>
      <c r="F286" s="415">
        <f>D286*E286</f>
        <v>0</v>
      </c>
    </row>
    <row r="287" spans="1:6" s="4" customFormat="1" ht="15">
      <c r="A287" s="28" t="s">
        <v>469</v>
      </c>
      <c r="B287" s="16" t="s">
        <v>107</v>
      </c>
      <c r="C287" s="417" t="s">
        <v>10</v>
      </c>
      <c r="D287" s="416">
        <f>2*2.2*2*0.05</f>
        <v>0.44000000000000006</v>
      </c>
      <c r="E287" s="415"/>
      <c r="F287" s="415">
        <f>D287*E287</f>
        <v>0</v>
      </c>
    </row>
    <row r="288" spans="1:6" s="4" customFormat="1" ht="15">
      <c r="A288" s="28" t="s">
        <v>470</v>
      </c>
      <c r="B288" s="29" t="s">
        <v>87</v>
      </c>
      <c r="C288" s="417" t="s">
        <v>10</v>
      </c>
      <c r="D288" s="416">
        <f>2*2.2*2*0.05</f>
        <v>0.44000000000000006</v>
      </c>
      <c r="E288" s="415"/>
      <c r="F288" s="415">
        <f>D288*E288</f>
        <v>0</v>
      </c>
    </row>
    <row r="289" spans="1:6" s="4" customFormat="1" ht="15">
      <c r="A289" s="28" t="s">
        <v>471</v>
      </c>
      <c r="B289" s="29" t="s">
        <v>106</v>
      </c>
      <c r="C289" s="417" t="s">
        <v>4</v>
      </c>
      <c r="D289" s="416">
        <f>(2*0.3)*2</f>
        <v>1.2</v>
      </c>
      <c r="E289" s="415"/>
      <c r="F289" s="415">
        <f>D289*E289</f>
        <v>0</v>
      </c>
    </row>
    <row r="290" spans="1:6" s="4" customFormat="1" ht="15">
      <c r="A290" s="28" t="s">
        <v>32</v>
      </c>
      <c r="B290" s="29" t="s">
        <v>472</v>
      </c>
      <c r="C290" s="417"/>
      <c r="D290" s="416"/>
      <c r="E290" s="415"/>
      <c r="F290" s="415"/>
    </row>
    <row r="291" spans="1:6" s="4" customFormat="1" ht="15">
      <c r="A291" s="28" t="s">
        <v>473</v>
      </c>
      <c r="B291" s="29" t="s">
        <v>20</v>
      </c>
      <c r="C291" s="417" t="s">
        <v>10</v>
      </c>
      <c r="D291" s="416">
        <f>2*2.2*0.15</f>
        <v>0.66</v>
      </c>
      <c r="E291" s="415"/>
      <c r="F291" s="415">
        <f t="shared" ref="F291:F302" si="6">D291*E291</f>
        <v>0</v>
      </c>
    </row>
    <row r="292" spans="1:6" s="4" customFormat="1" ht="15">
      <c r="A292" s="28" t="s">
        <v>474</v>
      </c>
      <c r="B292" s="29" t="s">
        <v>300</v>
      </c>
      <c r="C292" s="417" t="s">
        <v>23</v>
      </c>
      <c r="D292" s="416">
        <f>D291*12</f>
        <v>7.92</v>
      </c>
      <c r="E292" s="415"/>
      <c r="F292" s="415">
        <f t="shared" si="6"/>
        <v>0</v>
      </c>
    </row>
    <row r="293" spans="1:6" s="4" customFormat="1" ht="15">
      <c r="A293" s="28" t="s">
        <v>475</v>
      </c>
      <c r="B293" s="29" t="s">
        <v>100</v>
      </c>
      <c r="C293" s="417" t="s">
        <v>4</v>
      </c>
      <c r="D293" s="416">
        <f>D291*2</f>
        <v>1.32</v>
      </c>
      <c r="E293" s="415"/>
      <c r="F293" s="415">
        <f t="shared" si="6"/>
        <v>0</v>
      </c>
    </row>
    <row r="294" spans="1:6" s="4" customFormat="1" ht="15.6" hidden="1">
      <c r="A294" s="28" t="s">
        <v>108</v>
      </c>
      <c r="B294" s="27" t="s">
        <v>476</v>
      </c>
      <c r="C294" s="417"/>
      <c r="D294" s="416"/>
      <c r="E294" s="415"/>
      <c r="F294" s="415">
        <f t="shared" si="6"/>
        <v>0</v>
      </c>
    </row>
    <row r="295" spans="1:6" s="4" customFormat="1" ht="15.6" hidden="1">
      <c r="A295" s="28"/>
      <c r="B295" s="27" t="s">
        <v>477</v>
      </c>
      <c r="C295" s="417"/>
      <c r="D295" s="416"/>
      <c r="E295" s="415"/>
      <c r="F295" s="415">
        <f t="shared" si="6"/>
        <v>0</v>
      </c>
    </row>
    <row r="296" spans="1:6" s="4" customFormat="1" ht="15" hidden="1">
      <c r="A296" s="28" t="s">
        <v>109</v>
      </c>
      <c r="B296" s="29" t="s">
        <v>20</v>
      </c>
      <c r="C296" s="417" t="s">
        <v>10</v>
      </c>
      <c r="D296" s="416">
        <v>0</v>
      </c>
      <c r="E296" s="415"/>
      <c r="F296" s="415">
        <f t="shared" si="6"/>
        <v>0</v>
      </c>
    </row>
    <row r="297" spans="1:6" s="4" customFormat="1" ht="15" hidden="1">
      <c r="A297" s="28" t="s">
        <v>110</v>
      </c>
      <c r="B297" s="29" t="s">
        <v>300</v>
      </c>
      <c r="C297" s="417" t="s">
        <v>23</v>
      </c>
      <c r="D297" s="416">
        <v>0</v>
      </c>
      <c r="E297" s="415"/>
      <c r="F297" s="415">
        <f t="shared" si="6"/>
        <v>0</v>
      </c>
    </row>
    <row r="298" spans="1:6" s="4" customFormat="1" ht="15" hidden="1">
      <c r="A298" s="28" t="s">
        <v>111</v>
      </c>
      <c r="B298" s="29" t="s">
        <v>478</v>
      </c>
      <c r="C298" s="417" t="s">
        <v>4</v>
      </c>
      <c r="D298" s="416">
        <v>0</v>
      </c>
      <c r="E298" s="415"/>
      <c r="F298" s="415">
        <f t="shared" si="6"/>
        <v>0</v>
      </c>
    </row>
    <row r="299" spans="1:6" s="4" customFormat="1" ht="15" hidden="1">
      <c r="A299" s="28" t="s">
        <v>112</v>
      </c>
      <c r="B299" s="29" t="s">
        <v>479</v>
      </c>
      <c r="C299" s="417"/>
      <c r="D299" s="416"/>
      <c r="E299" s="415"/>
      <c r="F299" s="415">
        <f t="shared" si="6"/>
        <v>0</v>
      </c>
    </row>
    <row r="300" spans="1:6" s="4" customFormat="1" ht="15" hidden="1">
      <c r="A300" s="28" t="s">
        <v>375</v>
      </c>
      <c r="B300" s="29" t="s">
        <v>20</v>
      </c>
      <c r="C300" s="417" t="s">
        <v>10</v>
      </c>
      <c r="D300" s="416">
        <v>0</v>
      </c>
      <c r="E300" s="415"/>
      <c r="F300" s="415">
        <f t="shared" si="6"/>
        <v>0</v>
      </c>
    </row>
    <row r="301" spans="1:6" s="4" customFormat="1" ht="15" hidden="1">
      <c r="A301" s="28" t="s">
        <v>113</v>
      </c>
      <c r="B301" s="29" t="s">
        <v>300</v>
      </c>
      <c r="C301" s="417" t="s">
        <v>23</v>
      </c>
      <c r="D301" s="416">
        <v>0</v>
      </c>
      <c r="E301" s="415"/>
      <c r="F301" s="415">
        <f t="shared" si="6"/>
        <v>0</v>
      </c>
    </row>
    <row r="302" spans="1:6" s="4" customFormat="1" ht="15" hidden="1">
      <c r="A302" s="28" t="s">
        <v>284</v>
      </c>
      <c r="B302" s="29" t="s">
        <v>478</v>
      </c>
      <c r="C302" s="417" t="s">
        <v>4</v>
      </c>
      <c r="D302" s="416">
        <v>0</v>
      </c>
      <c r="E302" s="415"/>
      <c r="F302" s="415">
        <f t="shared" si="6"/>
        <v>0</v>
      </c>
    </row>
    <row r="303" spans="1:6" s="4" customFormat="1" ht="15.6">
      <c r="A303" s="28" t="s">
        <v>480</v>
      </c>
      <c r="B303" s="27" t="s">
        <v>114</v>
      </c>
      <c r="C303" s="417"/>
      <c r="D303" s="416"/>
      <c r="E303" s="415"/>
      <c r="F303" s="415"/>
    </row>
    <row r="304" spans="1:6" s="4" customFormat="1" ht="15">
      <c r="A304" s="28" t="s">
        <v>481</v>
      </c>
      <c r="B304" s="29" t="s">
        <v>482</v>
      </c>
      <c r="C304" s="417" t="s">
        <v>4</v>
      </c>
      <c r="D304" s="416">
        <f>5*1.4*3</f>
        <v>21</v>
      </c>
      <c r="E304" s="415"/>
      <c r="F304" s="415">
        <f>D304*E304</f>
        <v>0</v>
      </c>
    </row>
    <row r="305" spans="1:6" s="4" customFormat="1" ht="15">
      <c r="A305" s="28" t="s">
        <v>481</v>
      </c>
      <c r="B305" s="29" t="s">
        <v>483</v>
      </c>
      <c r="C305" s="417" t="s">
        <v>9</v>
      </c>
      <c r="D305" s="416">
        <v>3</v>
      </c>
      <c r="E305" s="415"/>
      <c r="F305" s="415">
        <f>D305*E305</f>
        <v>0</v>
      </c>
    </row>
    <row r="306" spans="1:6" s="4" customFormat="1" ht="15">
      <c r="A306" s="28" t="s">
        <v>481</v>
      </c>
      <c r="B306" s="29" t="s">
        <v>484</v>
      </c>
      <c r="C306" s="417" t="s">
        <v>7</v>
      </c>
      <c r="D306" s="416">
        <f>6*3</f>
        <v>18</v>
      </c>
      <c r="E306" s="415"/>
      <c r="F306" s="415">
        <f>D306*E306</f>
        <v>0</v>
      </c>
    </row>
    <row r="307" spans="1:6" s="4" customFormat="1" ht="15.6" thickBot="1">
      <c r="A307" s="28" t="s">
        <v>485</v>
      </c>
      <c r="B307" s="29" t="s">
        <v>486</v>
      </c>
      <c r="C307" s="417" t="s">
        <v>9</v>
      </c>
      <c r="D307" s="416">
        <v>3</v>
      </c>
      <c r="E307" s="415"/>
      <c r="F307" s="415">
        <f>D307*E307</f>
        <v>0</v>
      </c>
    </row>
    <row r="308" spans="1:6" s="4" customFormat="1" ht="17.399999999999999" customHeight="1" thickBot="1">
      <c r="A308" s="18"/>
      <c r="B308" s="445" t="s">
        <v>115</v>
      </c>
      <c r="C308" s="411"/>
      <c r="D308" s="412"/>
      <c r="E308" s="424"/>
      <c r="F308" s="424">
        <f>SUM(F215:F307)</f>
        <v>0</v>
      </c>
    </row>
    <row r="309" spans="1:6" s="4" customFormat="1" ht="16.2" thickBot="1">
      <c r="A309" s="18"/>
      <c r="B309" s="268" t="s">
        <v>487</v>
      </c>
      <c r="C309" s="411"/>
      <c r="D309" s="412"/>
      <c r="E309" s="424"/>
      <c r="F309" s="424">
        <f>F212+F308</f>
        <v>0</v>
      </c>
    </row>
    <row r="310" spans="1:6" s="40" customFormat="1" ht="15.6">
      <c r="A310" s="37">
        <v>3</v>
      </c>
      <c r="B310" s="38" t="s">
        <v>488</v>
      </c>
      <c r="C310" s="444"/>
      <c r="D310" s="443"/>
      <c r="E310" s="442"/>
      <c r="F310" s="442"/>
    </row>
    <row r="311" spans="1:6" s="4" customFormat="1" ht="15">
      <c r="A311" s="28" t="s">
        <v>116</v>
      </c>
      <c r="B311" s="29" t="s">
        <v>117</v>
      </c>
      <c r="C311" s="417"/>
      <c r="D311" s="417"/>
      <c r="E311" s="415"/>
      <c r="F311" s="415"/>
    </row>
    <row r="312" spans="1:6" s="4" customFormat="1" ht="15">
      <c r="A312" s="15" t="s">
        <v>118</v>
      </c>
      <c r="B312" s="16" t="s">
        <v>638</v>
      </c>
      <c r="C312" s="417" t="s">
        <v>489</v>
      </c>
      <c r="D312" s="417">
        <v>1</v>
      </c>
      <c r="E312" s="441"/>
      <c r="F312" s="415">
        <f t="shared" ref="F312:F319" si="7">D312*E312</f>
        <v>0</v>
      </c>
    </row>
    <row r="313" spans="1:6" s="4" customFormat="1" ht="15">
      <c r="A313" s="15" t="s">
        <v>119</v>
      </c>
      <c r="B313" s="16" t="s">
        <v>120</v>
      </c>
      <c r="C313" s="417" t="s">
        <v>10</v>
      </c>
      <c r="D313" s="417">
        <f>(28.24*11.8)/100</f>
        <v>3.3323200000000002</v>
      </c>
      <c r="E313" s="441"/>
      <c r="F313" s="415">
        <f t="shared" si="7"/>
        <v>0</v>
      </c>
    </row>
    <row r="314" spans="1:6" s="4" customFormat="1" ht="15" hidden="1">
      <c r="A314" s="15" t="s">
        <v>121</v>
      </c>
      <c r="B314" s="16" t="s">
        <v>490</v>
      </c>
      <c r="C314" s="417" t="s">
        <v>7</v>
      </c>
      <c r="D314" s="417"/>
      <c r="E314" s="440"/>
      <c r="F314" s="415">
        <f t="shared" si="7"/>
        <v>0</v>
      </c>
    </row>
    <row r="315" spans="1:6" s="4" customFormat="1" ht="15" hidden="1">
      <c r="A315" s="15" t="s">
        <v>119</v>
      </c>
      <c r="B315" s="16" t="s">
        <v>491</v>
      </c>
      <c r="C315" s="417" t="s">
        <v>7</v>
      </c>
      <c r="D315" s="417"/>
      <c r="E315" s="440"/>
      <c r="F315" s="415">
        <f t="shared" si="7"/>
        <v>0</v>
      </c>
    </row>
    <row r="316" spans="1:6" s="4" customFormat="1" ht="15" hidden="1">
      <c r="A316" s="15" t="s">
        <v>492</v>
      </c>
      <c r="B316" s="16" t="s">
        <v>493</v>
      </c>
      <c r="C316" s="417" t="s">
        <v>7</v>
      </c>
      <c r="D316" s="417"/>
      <c r="E316" s="440"/>
      <c r="F316" s="415">
        <f t="shared" si="7"/>
        <v>0</v>
      </c>
    </row>
    <row r="317" spans="1:6" s="4" customFormat="1" ht="15" hidden="1">
      <c r="A317" s="15" t="s">
        <v>494</v>
      </c>
      <c r="B317" s="16" t="s">
        <v>495</v>
      </c>
      <c r="C317" s="417" t="s">
        <v>7</v>
      </c>
      <c r="D317" s="417"/>
      <c r="E317" s="440"/>
      <c r="F317" s="415">
        <f t="shared" si="7"/>
        <v>0</v>
      </c>
    </row>
    <row r="318" spans="1:6" s="4" customFormat="1" ht="15" hidden="1">
      <c r="A318" s="15" t="s">
        <v>496</v>
      </c>
      <c r="B318" s="16" t="s">
        <v>497</v>
      </c>
      <c r="C318" s="417" t="s">
        <v>7</v>
      </c>
      <c r="D318" s="417"/>
      <c r="E318" s="440"/>
      <c r="F318" s="415">
        <f t="shared" si="7"/>
        <v>0</v>
      </c>
    </row>
    <row r="319" spans="1:6" s="4" customFormat="1" ht="15.6" thickBot="1">
      <c r="A319" s="15" t="s">
        <v>498</v>
      </c>
      <c r="B319" s="16" t="s">
        <v>122</v>
      </c>
      <c r="C319" s="417" t="s">
        <v>499</v>
      </c>
      <c r="D319" s="417">
        <v>24</v>
      </c>
      <c r="E319" s="415"/>
      <c r="F319" s="415">
        <f t="shared" si="7"/>
        <v>0</v>
      </c>
    </row>
    <row r="320" spans="1:6" s="4" customFormat="1" ht="16.2" thickBot="1">
      <c r="A320" s="429"/>
      <c r="B320" s="268" t="s">
        <v>500</v>
      </c>
      <c r="C320" s="413"/>
      <c r="D320" s="426"/>
      <c r="E320" s="425"/>
      <c r="F320" s="424">
        <f>SUM(F312:F319)</f>
        <v>0</v>
      </c>
    </row>
    <row r="321" spans="1:6" s="4" customFormat="1" ht="15.6">
      <c r="A321" s="41">
        <v>4</v>
      </c>
      <c r="B321" s="42" t="s">
        <v>501</v>
      </c>
      <c r="C321" s="423"/>
      <c r="D321" s="416"/>
      <c r="E321" s="427"/>
      <c r="F321" s="415"/>
    </row>
    <row r="322" spans="1:6" s="4" customFormat="1" ht="15">
      <c r="A322" s="28" t="s">
        <v>123</v>
      </c>
      <c r="B322" s="29" t="s">
        <v>43</v>
      </c>
      <c r="C322" s="417"/>
      <c r="D322" s="416"/>
      <c r="E322" s="415"/>
      <c r="F322" s="415"/>
    </row>
    <row r="323" spans="1:6" s="4" customFormat="1" ht="15.6">
      <c r="A323" s="28" t="s">
        <v>124</v>
      </c>
      <c r="B323" s="42" t="s">
        <v>44</v>
      </c>
      <c r="C323" s="417"/>
      <c r="D323" s="416"/>
      <c r="E323" s="415"/>
      <c r="F323" s="415"/>
    </row>
    <row r="324" spans="1:6" s="4" customFormat="1" ht="15">
      <c r="A324" s="28" t="s">
        <v>502</v>
      </c>
      <c r="B324" s="29" t="s">
        <v>699</v>
      </c>
      <c r="C324" s="417" t="s">
        <v>4</v>
      </c>
      <c r="D324" s="416">
        <f>28.24*12</f>
        <v>338.88</v>
      </c>
      <c r="E324" s="415"/>
      <c r="F324" s="415">
        <f>D324*E324</f>
        <v>0</v>
      </c>
    </row>
    <row r="325" spans="1:6" s="4" customFormat="1" ht="15.6">
      <c r="A325" s="28" t="s">
        <v>125</v>
      </c>
      <c r="B325" s="42" t="s">
        <v>126</v>
      </c>
      <c r="C325" s="417"/>
      <c r="D325" s="416"/>
      <c r="E325" s="415"/>
      <c r="F325" s="415"/>
    </row>
    <row r="326" spans="1:6" s="4" customFormat="1" ht="15.6">
      <c r="A326" s="28" t="s">
        <v>127</v>
      </c>
      <c r="B326" s="29" t="s">
        <v>694</v>
      </c>
      <c r="C326" s="417" t="s">
        <v>7</v>
      </c>
      <c r="D326" s="416">
        <v>29</v>
      </c>
      <c r="E326" s="415"/>
      <c r="F326" s="415">
        <f>D326*E326</f>
        <v>0</v>
      </c>
    </row>
    <row r="327" spans="1:6" s="4" customFormat="1" ht="15.6">
      <c r="A327" s="28" t="s">
        <v>128</v>
      </c>
      <c r="B327" s="42" t="s">
        <v>322</v>
      </c>
      <c r="C327" s="417"/>
      <c r="D327" s="416"/>
      <c r="E327" s="415"/>
      <c r="F327" s="415"/>
    </row>
    <row r="328" spans="1:6" s="4" customFormat="1" ht="15" hidden="1">
      <c r="A328" s="431" t="s">
        <v>129</v>
      </c>
      <c r="B328" s="29" t="s">
        <v>324</v>
      </c>
      <c r="C328" s="417" t="s">
        <v>9</v>
      </c>
      <c r="D328" s="416">
        <v>0</v>
      </c>
      <c r="E328" s="415"/>
      <c r="F328" s="415">
        <f>D328*E328</f>
        <v>0</v>
      </c>
    </row>
    <row r="329" spans="1:6" s="4" customFormat="1" ht="15.6">
      <c r="A329" s="28" t="s">
        <v>246</v>
      </c>
      <c r="B329" s="42" t="s">
        <v>130</v>
      </c>
      <c r="C329" s="436"/>
      <c r="D329" s="416"/>
      <c r="E329" s="418"/>
      <c r="F329" s="415"/>
    </row>
    <row r="330" spans="1:6" s="4" customFormat="1" ht="15.6" thickBot="1">
      <c r="A330" s="35" t="s">
        <v>247</v>
      </c>
      <c r="B330" s="29" t="s">
        <v>360</v>
      </c>
      <c r="C330" s="439" t="s">
        <v>4</v>
      </c>
      <c r="D330" s="416">
        <f>(12*2+29*2)*0.4</f>
        <v>32.800000000000004</v>
      </c>
      <c r="E330" s="438"/>
      <c r="F330" s="415">
        <f>D330*E330</f>
        <v>0</v>
      </c>
    </row>
    <row r="331" spans="1:6" s="4" customFormat="1" ht="16.2" thickBot="1">
      <c r="A331" s="429"/>
      <c r="B331" s="414" t="s">
        <v>505</v>
      </c>
      <c r="C331" s="411"/>
      <c r="D331" s="412"/>
      <c r="E331" s="424"/>
      <c r="F331" s="424">
        <f>SUM(F324:F330)</f>
        <v>0</v>
      </c>
    </row>
    <row r="332" spans="1:6" s="4" customFormat="1" ht="15.6">
      <c r="A332" s="14">
        <v>5</v>
      </c>
      <c r="B332" s="43" t="s">
        <v>506</v>
      </c>
      <c r="C332" s="417"/>
      <c r="D332" s="416"/>
      <c r="E332" s="415"/>
      <c r="F332" s="415"/>
    </row>
    <row r="333" spans="1:6" s="4" customFormat="1" ht="15.6">
      <c r="A333" s="16" t="s">
        <v>49</v>
      </c>
      <c r="B333" s="43" t="s">
        <v>51</v>
      </c>
      <c r="C333" s="417"/>
      <c r="D333" s="416"/>
      <c r="E333" s="415"/>
      <c r="F333" s="415"/>
    </row>
    <row r="334" spans="1:6" s="4" customFormat="1" ht="15.6" thickBot="1">
      <c r="A334" s="29" t="s">
        <v>50</v>
      </c>
      <c r="B334" s="44" t="s">
        <v>507</v>
      </c>
      <c r="C334" s="417" t="s">
        <v>131</v>
      </c>
      <c r="D334" s="416">
        <v>1</v>
      </c>
      <c r="E334" s="415"/>
      <c r="F334" s="415">
        <f>D334*E334</f>
        <v>0</v>
      </c>
    </row>
    <row r="335" spans="1:6" s="4" customFormat="1" ht="16.2" thickBot="1">
      <c r="A335" s="429"/>
      <c r="B335" s="430" t="s">
        <v>508</v>
      </c>
      <c r="C335" s="411"/>
      <c r="D335" s="412"/>
      <c r="E335" s="424"/>
      <c r="F335" s="424">
        <f>F334</f>
        <v>0</v>
      </c>
    </row>
    <row r="336" spans="1:6" s="4" customFormat="1" ht="15.6">
      <c r="A336" s="15">
        <v>6</v>
      </c>
      <c r="B336" s="437" t="s">
        <v>509</v>
      </c>
      <c r="C336" s="6"/>
      <c r="D336" s="422"/>
      <c r="E336" s="421"/>
      <c r="F336" s="415"/>
    </row>
    <row r="337" spans="1:6" s="4" customFormat="1" ht="15.6">
      <c r="A337" s="435" t="s">
        <v>325</v>
      </c>
      <c r="B337" s="43" t="s">
        <v>510</v>
      </c>
      <c r="C337" s="436"/>
      <c r="D337" s="422"/>
      <c r="E337" s="418"/>
      <c r="F337" s="415"/>
    </row>
    <row r="338" spans="1:6" s="4" customFormat="1" ht="15">
      <c r="A338" s="435" t="s">
        <v>326</v>
      </c>
      <c r="B338" s="431" t="s">
        <v>511</v>
      </c>
      <c r="C338" s="417" t="s">
        <v>9</v>
      </c>
      <c r="D338" s="416">
        <v>3</v>
      </c>
      <c r="E338" s="417"/>
      <c r="F338" s="415">
        <f>D338*E338</f>
        <v>0</v>
      </c>
    </row>
    <row r="339" spans="1:6" s="4" customFormat="1" ht="15">
      <c r="A339" s="435" t="s">
        <v>376</v>
      </c>
      <c r="B339" s="16" t="s">
        <v>512</v>
      </c>
      <c r="C339" s="417"/>
      <c r="D339" s="416">
        <v>0</v>
      </c>
      <c r="E339" s="415"/>
      <c r="F339" s="415">
        <f>D339*E339</f>
        <v>0</v>
      </c>
    </row>
    <row r="340" spans="1:6" s="4" customFormat="1" ht="15">
      <c r="A340" s="435" t="s">
        <v>513</v>
      </c>
      <c r="B340" s="16" t="s">
        <v>514</v>
      </c>
      <c r="C340" s="417" t="s">
        <v>9</v>
      </c>
      <c r="D340" s="416">
        <v>0</v>
      </c>
      <c r="E340" s="415"/>
      <c r="F340" s="415">
        <f>D340*E340</f>
        <v>0</v>
      </c>
    </row>
    <row r="341" spans="1:6" s="4" customFormat="1" ht="15">
      <c r="A341" s="435" t="s">
        <v>515</v>
      </c>
      <c r="B341" s="16" t="s">
        <v>259</v>
      </c>
      <c r="C341" s="417" t="s">
        <v>9</v>
      </c>
      <c r="D341" s="416">
        <v>0</v>
      </c>
      <c r="E341" s="415"/>
      <c r="F341" s="415">
        <f>D341*E341</f>
        <v>0</v>
      </c>
    </row>
    <row r="342" spans="1:6" s="4" customFormat="1" ht="15.6">
      <c r="A342" s="435" t="s">
        <v>377</v>
      </c>
      <c r="B342" s="43" t="s">
        <v>516</v>
      </c>
      <c r="C342" s="436"/>
      <c r="D342" s="422"/>
      <c r="E342" s="418"/>
      <c r="F342" s="415"/>
    </row>
    <row r="343" spans="1:6" s="4" customFormat="1" ht="15.6">
      <c r="A343" s="435" t="s">
        <v>378</v>
      </c>
      <c r="B343" s="431" t="s">
        <v>517</v>
      </c>
      <c r="C343" s="436"/>
      <c r="D343" s="422"/>
      <c r="E343" s="418"/>
      <c r="F343" s="415"/>
    </row>
    <row r="344" spans="1:6" s="4" customFormat="1" ht="15">
      <c r="A344" s="435" t="s">
        <v>518</v>
      </c>
      <c r="B344" s="431" t="s">
        <v>519</v>
      </c>
      <c r="C344" s="417" t="s">
        <v>9</v>
      </c>
      <c r="D344" s="416">
        <v>0</v>
      </c>
      <c r="E344" s="415"/>
      <c r="F344" s="415">
        <f>D344*E344</f>
        <v>0</v>
      </c>
    </row>
    <row r="345" spans="1:6" s="4" customFormat="1" ht="15.6" thickBot="1">
      <c r="A345" s="15" t="s">
        <v>520</v>
      </c>
      <c r="B345" s="431" t="s">
        <v>521</v>
      </c>
      <c r="C345" s="417" t="s">
        <v>4</v>
      </c>
      <c r="D345" s="416">
        <v>0</v>
      </c>
      <c r="E345" s="415"/>
      <c r="F345" s="415">
        <f>D345*E345</f>
        <v>0</v>
      </c>
    </row>
    <row r="346" spans="1:6" s="4" customFormat="1" ht="16.2" thickBot="1">
      <c r="A346" s="434"/>
      <c r="B346" s="433" t="s">
        <v>522</v>
      </c>
      <c r="C346" s="411"/>
      <c r="D346" s="412"/>
      <c r="E346" s="424"/>
      <c r="F346" s="424">
        <f>SUM(F338:F345)</f>
        <v>0</v>
      </c>
    </row>
    <row r="347" spans="1:6" s="4" customFormat="1" ht="15.6">
      <c r="A347" s="41">
        <v>7</v>
      </c>
      <c r="B347" s="42" t="s">
        <v>523</v>
      </c>
      <c r="C347" s="432"/>
      <c r="D347" s="420"/>
      <c r="E347" s="427"/>
      <c r="F347" s="415"/>
    </row>
    <row r="348" spans="1:6" s="4" customFormat="1" ht="15" hidden="1">
      <c r="A348" s="431" t="s">
        <v>132</v>
      </c>
      <c r="B348" s="29" t="s">
        <v>524</v>
      </c>
      <c r="C348" s="417" t="s">
        <v>7</v>
      </c>
      <c r="D348" s="416">
        <v>0</v>
      </c>
      <c r="E348" s="415"/>
      <c r="F348" s="415">
        <f>D348*E348</f>
        <v>0</v>
      </c>
    </row>
    <row r="349" spans="1:6" s="4" customFormat="1" ht="15" hidden="1">
      <c r="A349" s="431" t="s">
        <v>133</v>
      </c>
      <c r="B349" s="29" t="s">
        <v>525</v>
      </c>
      <c r="C349" s="417" t="s">
        <v>7</v>
      </c>
      <c r="D349" s="416">
        <v>0</v>
      </c>
      <c r="E349" s="415"/>
      <c r="F349" s="415">
        <f>D349*E349</f>
        <v>0</v>
      </c>
    </row>
    <row r="350" spans="1:6" s="4" customFormat="1" ht="15">
      <c r="A350" s="431" t="s">
        <v>382</v>
      </c>
      <c r="B350" s="29" t="s">
        <v>526</v>
      </c>
      <c r="C350" s="417"/>
      <c r="D350" s="416"/>
      <c r="E350" s="415"/>
      <c r="F350" s="415"/>
    </row>
    <row r="351" spans="1:6" s="4" customFormat="1" ht="15">
      <c r="A351" s="431"/>
      <c r="B351" s="29" t="s">
        <v>527</v>
      </c>
      <c r="C351" s="417" t="s">
        <v>4</v>
      </c>
      <c r="D351" s="416">
        <f>27.24*11.18*0</f>
        <v>0</v>
      </c>
      <c r="E351" s="415"/>
      <c r="F351" s="415">
        <f>D351*E351</f>
        <v>0</v>
      </c>
    </row>
    <row r="352" spans="1:6" s="4" customFormat="1" ht="15.6" thickBot="1">
      <c r="A352" s="431"/>
      <c r="B352" s="29" t="s">
        <v>528</v>
      </c>
      <c r="C352" s="417" t="s">
        <v>4</v>
      </c>
      <c r="D352" s="416">
        <f>D351</f>
        <v>0</v>
      </c>
      <c r="E352" s="415"/>
      <c r="F352" s="415">
        <f>D352*E352</f>
        <v>0</v>
      </c>
    </row>
    <row r="353" spans="1:6" s="4" customFormat="1" ht="16.2" thickBot="1">
      <c r="A353" s="429"/>
      <c r="B353" s="430" t="s">
        <v>529</v>
      </c>
      <c r="C353" s="411"/>
      <c r="D353" s="412"/>
      <c r="E353" s="425"/>
      <c r="F353" s="424">
        <f>SUM(F348:F352)</f>
        <v>0</v>
      </c>
    </row>
    <row r="354" spans="1:6" s="4" customFormat="1" ht="21.6" customHeight="1">
      <c r="A354" s="14">
        <v>8</v>
      </c>
      <c r="B354" s="47" t="s">
        <v>530</v>
      </c>
      <c r="C354" s="6"/>
      <c r="D354" s="422"/>
      <c r="E354" s="421"/>
      <c r="F354" s="415"/>
    </row>
    <row r="355" spans="1:6" s="4" customFormat="1" ht="15.6">
      <c r="A355" s="15" t="s">
        <v>330</v>
      </c>
      <c r="B355" s="47" t="s">
        <v>134</v>
      </c>
      <c r="C355" s="417"/>
      <c r="D355" s="416"/>
      <c r="E355" s="415"/>
      <c r="F355" s="415"/>
    </row>
    <row r="356" spans="1:6" s="4" customFormat="1" ht="15">
      <c r="A356" s="15" t="s">
        <v>332</v>
      </c>
      <c r="B356" s="16" t="s">
        <v>637</v>
      </c>
      <c r="C356" s="417" t="s">
        <v>9</v>
      </c>
      <c r="D356" s="416">
        <v>3</v>
      </c>
      <c r="E356" s="415"/>
      <c r="F356" s="415">
        <f>D356*E356</f>
        <v>0</v>
      </c>
    </row>
    <row r="357" spans="1:6" s="4" customFormat="1" ht="15">
      <c r="A357" s="15" t="s">
        <v>531</v>
      </c>
      <c r="B357" s="16" t="s">
        <v>532</v>
      </c>
      <c r="C357" s="417" t="s">
        <v>9</v>
      </c>
      <c r="D357" s="416">
        <v>0</v>
      </c>
      <c r="E357" s="415"/>
      <c r="F357" s="415">
        <f>D357*E357</f>
        <v>0</v>
      </c>
    </row>
    <row r="358" spans="1:6" s="4" customFormat="1" ht="15.6">
      <c r="A358" s="15" t="s">
        <v>533</v>
      </c>
      <c r="B358" s="47" t="s">
        <v>135</v>
      </c>
      <c r="C358" s="417"/>
      <c r="D358" s="416"/>
      <c r="E358" s="415"/>
      <c r="F358" s="415"/>
    </row>
    <row r="359" spans="1:6" s="4" customFormat="1" ht="15">
      <c r="A359" s="15" t="s">
        <v>534</v>
      </c>
      <c r="B359" s="16" t="s">
        <v>535</v>
      </c>
      <c r="C359" s="417" t="s">
        <v>9</v>
      </c>
      <c r="D359" s="417">
        <v>0</v>
      </c>
      <c r="E359" s="415"/>
      <c r="F359" s="415">
        <f>D359*E359</f>
        <v>0</v>
      </c>
    </row>
    <row r="360" spans="1:6" s="4" customFormat="1" ht="15">
      <c r="A360" s="15" t="s">
        <v>536</v>
      </c>
      <c r="B360" s="16" t="s">
        <v>361</v>
      </c>
      <c r="C360" s="417" t="s">
        <v>9</v>
      </c>
      <c r="D360" s="417">
        <v>3</v>
      </c>
      <c r="E360" s="415"/>
      <c r="F360" s="415">
        <f>D360*E360</f>
        <v>0</v>
      </c>
    </row>
    <row r="361" spans="1:6" s="4" customFormat="1" ht="15.6">
      <c r="A361" s="16" t="s">
        <v>537</v>
      </c>
      <c r="B361" s="11" t="s">
        <v>538</v>
      </c>
      <c r="C361" s="417"/>
      <c r="D361" s="417"/>
      <c r="E361" s="415"/>
      <c r="F361" s="415"/>
    </row>
    <row r="362" spans="1:6" s="4" customFormat="1" ht="15">
      <c r="A362" s="16" t="s">
        <v>539</v>
      </c>
      <c r="B362" s="16" t="s">
        <v>540</v>
      </c>
      <c r="C362" s="417"/>
      <c r="D362" s="417"/>
      <c r="E362" s="415"/>
      <c r="F362" s="415"/>
    </row>
    <row r="363" spans="1:6" s="4" customFormat="1" ht="15">
      <c r="A363" s="16" t="s">
        <v>541</v>
      </c>
      <c r="B363" s="16" t="s">
        <v>542</v>
      </c>
      <c r="C363" s="417" t="s">
        <v>9</v>
      </c>
      <c r="D363" s="417">
        <v>0</v>
      </c>
      <c r="E363" s="415"/>
      <c r="F363" s="415">
        <f>D363*E363</f>
        <v>0</v>
      </c>
    </row>
    <row r="364" spans="1:6" s="4" customFormat="1" ht="15.6">
      <c r="A364" s="16" t="s">
        <v>543</v>
      </c>
      <c r="B364" s="11" t="s">
        <v>544</v>
      </c>
      <c r="C364" s="417"/>
      <c r="D364" s="417"/>
      <c r="E364" s="415"/>
      <c r="F364" s="415"/>
    </row>
    <row r="365" spans="1:6" s="4" customFormat="1" ht="15">
      <c r="A365" s="16" t="s">
        <v>545</v>
      </c>
      <c r="B365" s="16" t="s">
        <v>546</v>
      </c>
      <c r="C365" s="417" t="s">
        <v>9</v>
      </c>
      <c r="D365" s="417">
        <v>0</v>
      </c>
      <c r="E365" s="415"/>
      <c r="F365" s="415">
        <f>D365*E365</f>
        <v>0</v>
      </c>
    </row>
    <row r="366" spans="1:6" s="4" customFormat="1" ht="15.6" thickBot="1">
      <c r="A366" s="16" t="s">
        <v>547</v>
      </c>
      <c r="B366" s="16" t="s">
        <v>548</v>
      </c>
      <c r="C366" s="417" t="s">
        <v>9</v>
      </c>
      <c r="D366" s="417">
        <v>0</v>
      </c>
      <c r="E366" s="415"/>
      <c r="F366" s="415">
        <f>D366*E366</f>
        <v>0</v>
      </c>
    </row>
    <row r="367" spans="1:6" s="4" customFormat="1" ht="16.2" thickBot="1">
      <c r="A367" s="429"/>
      <c r="B367" s="414" t="s">
        <v>549</v>
      </c>
      <c r="C367" s="413"/>
      <c r="D367" s="426"/>
      <c r="E367" s="425"/>
      <c r="F367" s="424">
        <f>SUM(F356:F366)</f>
        <v>0</v>
      </c>
    </row>
    <row r="368" spans="1:6" s="4" customFormat="1" ht="15.6">
      <c r="A368" s="14">
        <v>9</v>
      </c>
      <c r="B368" s="11" t="s">
        <v>550</v>
      </c>
      <c r="C368" s="423"/>
      <c r="D368" s="428"/>
      <c r="E368" s="427"/>
      <c r="F368" s="415"/>
    </row>
    <row r="369" spans="1:7" s="4" customFormat="1" ht="15.6">
      <c r="A369" s="14">
        <v>10</v>
      </c>
      <c r="B369" s="11" t="s">
        <v>551</v>
      </c>
      <c r="C369" s="417"/>
      <c r="D369" s="416"/>
      <c r="E369" s="415"/>
      <c r="F369" s="415"/>
    </row>
    <row r="370" spans="1:7" s="30" customFormat="1" ht="15">
      <c r="A370" s="15" t="s">
        <v>136</v>
      </c>
      <c r="B370" s="16" t="s">
        <v>552</v>
      </c>
      <c r="C370" s="417"/>
      <c r="D370" s="416"/>
      <c r="E370" s="415"/>
      <c r="F370" s="415"/>
      <c r="G370" s="4"/>
    </row>
    <row r="371" spans="1:7" s="4" customFormat="1" ht="18.75" customHeight="1" thickBot="1">
      <c r="A371" s="15" t="s">
        <v>553</v>
      </c>
      <c r="B371" s="48" t="s">
        <v>636</v>
      </c>
      <c r="C371" s="417" t="s">
        <v>489</v>
      </c>
      <c r="D371" s="416">
        <v>1</v>
      </c>
      <c r="E371" s="415"/>
      <c r="F371" s="415">
        <f>D371*E371</f>
        <v>0</v>
      </c>
    </row>
    <row r="372" spans="1:7" s="4" customFormat="1" ht="16.2" thickBot="1">
      <c r="A372" s="18"/>
      <c r="B372" s="414" t="s">
        <v>554</v>
      </c>
      <c r="C372" s="413"/>
      <c r="D372" s="426"/>
      <c r="E372" s="425"/>
      <c r="F372" s="424">
        <f>SUM(F371:F371)</f>
        <v>0</v>
      </c>
    </row>
    <row r="373" spans="1:7" s="4" customFormat="1" ht="15.6">
      <c r="A373" s="14">
        <v>11</v>
      </c>
      <c r="B373" s="11" t="s">
        <v>555</v>
      </c>
      <c r="C373" s="423"/>
      <c r="D373" s="422"/>
      <c r="E373" s="421"/>
      <c r="F373" s="415"/>
    </row>
    <row r="374" spans="1:7" s="30" customFormat="1" ht="15.6">
      <c r="A374" s="15" t="s">
        <v>556</v>
      </c>
      <c r="B374" s="47" t="s">
        <v>137</v>
      </c>
      <c r="C374" s="419"/>
      <c r="D374" s="420"/>
      <c r="E374" s="419"/>
      <c r="F374" s="415"/>
      <c r="G374" s="4"/>
    </row>
    <row r="375" spans="1:7" s="30" customFormat="1" ht="15">
      <c r="A375" s="15" t="s">
        <v>557</v>
      </c>
      <c r="B375" s="48" t="s">
        <v>59</v>
      </c>
      <c r="C375" s="417" t="s">
        <v>4</v>
      </c>
      <c r="D375" s="416">
        <f>(27.24*2+7.93*2*2)*3.5</f>
        <v>301.69999999999993</v>
      </c>
      <c r="E375" s="415"/>
      <c r="F375" s="415">
        <f>D375*E375</f>
        <v>0</v>
      </c>
      <c r="G375" s="4"/>
    </row>
    <row r="376" spans="1:7" s="30" customFormat="1" ht="15.6">
      <c r="A376" s="15" t="s">
        <v>558</v>
      </c>
      <c r="B376" s="48" t="s">
        <v>138</v>
      </c>
      <c r="C376" s="417" t="s">
        <v>4</v>
      </c>
      <c r="D376" s="416">
        <f>1.5*(27.24+7.93)*2</f>
        <v>105.51</v>
      </c>
      <c r="E376" s="415"/>
      <c r="F376" s="415">
        <f>D376*E376</f>
        <v>0</v>
      </c>
      <c r="G376" s="4"/>
    </row>
    <row r="377" spans="1:7" s="4" customFormat="1" ht="15.6">
      <c r="A377" s="15" t="s">
        <v>559</v>
      </c>
      <c r="B377" s="47" t="s">
        <v>139</v>
      </c>
      <c r="C377" s="417"/>
      <c r="D377" s="416"/>
      <c r="E377" s="415"/>
      <c r="F377" s="415"/>
    </row>
    <row r="378" spans="1:7" s="4" customFormat="1" ht="15">
      <c r="A378" s="15" t="s">
        <v>560</v>
      </c>
      <c r="B378" s="48" t="s">
        <v>60</v>
      </c>
      <c r="C378" s="417" t="s">
        <v>4</v>
      </c>
      <c r="D378" s="416">
        <f>(27.24*2+7.93*6)*3</f>
        <v>306.18</v>
      </c>
      <c r="E378" s="415"/>
      <c r="F378" s="415">
        <f>D378*E378</f>
        <v>0</v>
      </c>
    </row>
    <row r="379" spans="1:7" s="4" customFormat="1" ht="15">
      <c r="A379" s="15" t="s">
        <v>561</v>
      </c>
      <c r="B379" s="48" t="s">
        <v>562</v>
      </c>
      <c r="C379" s="417" t="s">
        <v>4</v>
      </c>
      <c r="D379" s="416">
        <f>D352</f>
        <v>0</v>
      </c>
      <c r="E379" s="415"/>
      <c r="F379" s="415">
        <f>D379*E379</f>
        <v>0</v>
      </c>
    </row>
    <row r="380" spans="1:7" s="4" customFormat="1" ht="15">
      <c r="A380" s="15"/>
      <c r="B380" s="48"/>
      <c r="C380" s="417"/>
      <c r="D380" s="416"/>
      <c r="E380" s="415"/>
      <c r="F380" s="415"/>
    </row>
    <row r="381" spans="1:7" s="4" customFormat="1" ht="15.6" hidden="1">
      <c r="A381" s="15" t="s">
        <v>563</v>
      </c>
      <c r="B381" s="47" t="s">
        <v>564</v>
      </c>
      <c r="C381" s="417"/>
      <c r="D381" s="417"/>
      <c r="E381" s="415"/>
      <c r="F381" s="415"/>
    </row>
    <row r="382" spans="1:7" s="4" customFormat="1" ht="30" hidden="1">
      <c r="A382" s="15" t="s">
        <v>565</v>
      </c>
      <c r="B382" s="48" t="s">
        <v>566</v>
      </c>
      <c r="C382" s="417" t="s">
        <v>4</v>
      </c>
      <c r="D382" s="417">
        <v>0</v>
      </c>
      <c r="E382" s="415"/>
      <c r="F382" s="415">
        <f>D382*E382</f>
        <v>0</v>
      </c>
    </row>
    <row r="383" spans="1:7" s="4" customFormat="1" ht="15" hidden="1">
      <c r="A383" s="15"/>
      <c r="B383" s="48"/>
      <c r="C383" s="417"/>
      <c r="D383" s="416"/>
      <c r="E383" s="415"/>
      <c r="F383" s="415"/>
    </row>
    <row r="384" spans="1:7" s="4" customFormat="1" ht="15.6">
      <c r="A384" s="16" t="s">
        <v>567</v>
      </c>
      <c r="B384" s="47" t="s">
        <v>140</v>
      </c>
      <c r="C384" s="417"/>
      <c r="D384" s="416"/>
      <c r="E384" s="418"/>
      <c r="F384" s="415"/>
    </row>
    <row r="385" spans="1:7" s="4" customFormat="1" ht="30.6">
      <c r="A385" s="16" t="s">
        <v>568</v>
      </c>
      <c r="B385" s="48" t="s">
        <v>141</v>
      </c>
      <c r="C385" s="417" t="s">
        <v>4</v>
      </c>
      <c r="D385" s="416">
        <f>1.4*2.2*2*3+0.9*2.2*3*2+1.4*2*3*2</f>
        <v>47.16</v>
      </c>
      <c r="E385" s="415"/>
      <c r="F385" s="415">
        <f>D385*E385</f>
        <v>0</v>
      </c>
    </row>
    <row r="386" spans="1:7" s="4" customFormat="1" ht="15.6">
      <c r="A386" s="16" t="s">
        <v>569</v>
      </c>
      <c r="B386" s="47" t="s">
        <v>570</v>
      </c>
      <c r="C386" s="417"/>
      <c r="D386" s="416"/>
      <c r="E386" s="415"/>
      <c r="F386" s="415"/>
    </row>
    <row r="387" spans="1:7" s="4" customFormat="1" ht="15">
      <c r="A387" s="16" t="s">
        <v>571</v>
      </c>
      <c r="B387" s="48" t="s">
        <v>572</v>
      </c>
      <c r="C387" s="417" t="s">
        <v>4</v>
      </c>
      <c r="D387" s="416">
        <f>3*6*1.4+3*3*1.4</f>
        <v>37.799999999999997</v>
      </c>
      <c r="E387" s="415"/>
      <c r="F387" s="415">
        <f>D387*E387</f>
        <v>0</v>
      </c>
    </row>
    <row r="388" spans="1:7" s="4" customFormat="1" ht="15.6" thickBot="1">
      <c r="A388" s="16" t="s">
        <v>571</v>
      </c>
      <c r="B388" s="48" t="s">
        <v>142</v>
      </c>
      <c r="C388" s="417" t="s">
        <v>4</v>
      </c>
      <c r="D388" s="416">
        <f>3*6*1.4+3*3*1.4</f>
        <v>37.799999999999997</v>
      </c>
      <c r="E388" s="415"/>
      <c r="F388" s="415">
        <f>D388*E388</f>
        <v>0</v>
      </c>
    </row>
    <row r="389" spans="1:7" s="4" customFormat="1" ht="16.2" thickBot="1">
      <c r="A389" s="18"/>
      <c r="B389" s="414" t="s">
        <v>573</v>
      </c>
      <c r="C389" s="413"/>
      <c r="D389" s="412"/>
      <c r="E389" s="411"/>
      <c r="F389" s="307">
        <f>SUM(F375:F388)</f>
        <v>0</v>
      </c>
    </row>
    <row r="390" spans="1:7" ht="15">
      <c r="A390" s="304"/>
      <c r="B390" s="304"/>
      <c r="F390" s="309"/>
    </row>
    <row r="391" spans="1:7" ht="22.5" customHeight="1">
      <c r="A391" s="304"/>
      <c r="B391" s="310" t="s">
        <v>648</v>
      </c>
      <c r="C391" s="303"/>
      <c r="D391" s="308"/>
      <c r="E391" s="303"/>
      <c r="F391" s="311">
        <f>F206+F309+F320+F331+F335+F346+F353+F367+F372+F389</f>
        <v>0</v>
      </c>
    </row>
    <row r="392" spans="1:7" s="302" customFormat="1" ht="15">
      <c r="A392" s="300"/>
      <c r="B392" s="304"/>
      <c r="D392" s="301"/>
      <c r="G392" s="300"/>
    </row>
    <row r="393" spans="1:7" ht="22.5" customHeight="1">
      <c r="A393" s="304"/>
      <c r="B393" s="310" t="s">
        <v>346</v>
      </c>
      <c r="C393" s="312">
        <v>0.15</v>
      </c>
      <c r="D393" s="308"/>
      <c r="E393" s="303"/>
      <c r="F393" s="311">
        <f>(F199+F391)*C393</f>
        <v>0</v>
      </c>
    </row>
    <row r="394" spans="1:7" s="302" customFormat="1" ht="15">
      <c r="A394" s="300"/>
      <c r="B394" s="304"/>
      <c r="D394" s="301"/>
      <c r="G394" s="300"/>
    </row>
    <row r="395" spans="1:7" ht="22.5" customHeight="1">
      <c r="A395" s="304"/>
      <c r="B395" s="310" t="s">
        <v>649</v>
      </c>
      <c r="C395" s="303"/>
      <c r="D395" s="308"/>
      <c r="E395" s="303"/>
      <c r="F395" s="311">
        <f>(F199+F391)+F393</f>
        <v>0</v>
      </c>
    </row>
  </sheetData>
  <mergeCells count="3">
    <mergeCell ref="A3:F3"/>
    <mergeCell ref="B5:E5"/>
    <mergeCell ref="B201:E201"/>
  </mergeCells>
  <pageMargins left="0.7" right="0.7" top="0.75" bottom="0.75" header="0.3" footer="0.3"/>
  <pageSetup paperSize="9" scale="4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DFC19CA-3984-4635-8D3F-A3E62DAD3324}">
  <dimension ref="A1:F126"/>
  <sheetViews>
    <sheetView showGridLines="0" view="pageBreakPreview" topLeftCell="A56" zoomScale="80" zoomScaleSheetLayoutView="80" workbookViewId="0">
      <selection activeCell="B75" sqref="B75"/>
    </sheetView>
  </sheetViews>
  <sheetFormatPr baseColWidth="10" defaultColWidth="11.44140625" defaultRowHeight="15"/>
  <cols>
    <col min="1" max="1" width="10" style="232" customWidth="1"/>
    <col min="2" max="2" width="63.21875" style="232" customWidth="1"/>
    <col min="3" max="3" width="9.21875" style="2" customWidth="1"/>
    <col min="4" max="4" width="10.5546875" style="3" customWidth="1"/>
    <col min="5" max="5" width="11.77734375" style="3" customWidth="1"/>
    <col min="6" max="6" width="18.77734375" style="233" customWidth="1"/>
    <col min="7" max="16384" width="11.44140625" style="2"/>
  </cols>
  <sheetData>
    <row r="1" spans="1:6" ht="29.55" customHeight="1"/>
    <row r="2" spans="1:6" ht="27.6" customHeight="1"/>
    <row r="3" spans="1:6" ht="22.95" customHeight="1">
      <c r="A3" s="1"/>
      <c r="B3" s="1"/>
      <c r="F3" s="234"/>
    </row>
    <row r="4" spans="1:6" s="4" customFormat="1" ht="13.8" thickBot="1">
      <c r="B4" s="527"/>
      <c r="C4" s="527"/>
      <c r="D4" s="5"/>
      <c r="E4" s="229"/>
      <c r="F4" s="235"/>
    </row>
    <row r="5" spans="1:6" s="4" customFormat="1" ht="22.95" customHeight="1" thickBot="1">
      <c r="A5" s="528" t="s">
        <v>353</v>
      </c>
      <c r="B5" s="529"/>
      <c r="C5" s="529"/>
      <c r="D5" s="529"/>
      <c r="E5" s="529"/>
      <c r="F5" s="530"/>
    </row>
    <row r="6" spans="1:6" s="4" customFormat="1" ht="13.2" customHeight="1" thickBot="1">
      <c r="B6" s="7"/>
      <c r="C6" s="7"/>
      <c r="D6" s="8"/>
      <c r="E6" s="9"/>
      <c r="F6" s="236"/>
    </row>
    <row r="7" spans="1:6" s="10" customFormat="1" ht="33" customHeight="1" thickBot="1">
      <c r="A7" s="262" t="s">
        <v>356</v>
      </c>
      <c r="B7" s="263" t="s">
        <v>70</v>
      </c>
      <c r="C7" s="264" t="s">
        <v>75</v>
      </c>
      <c r="D7" s="265" t="s">
        <v>76</v>
      </c>
      <c r="E7" s="266" t="s">
        <v>77</v>
      </c>
      <c r="F7" s="267" t="s">
        <v>78</v>
      </c>
    </row>
    <row r="8" spans="1:6" s="10" customFormat="1" ht="14.55" customHeight="1">
      <c r="A8" s="66"/>
      <c r="B8" s="65"/>
      <c r="C8" s="6"/>
      <c r="D8" s="64"/>
      <c r="E8" s="198"/>
      <c r="F8" s="237"/>
    </row>
    <row r="9" spans="1:6" s="4" customFormat="1" ht="15.6">
      <c r="A9" s="67" t="s">
        <v>147</v>
      </c>
      <c r="B9" s="68" t="s">
        <v>146</v>
      </c>
      <c r="C9" s="69"/>
      <c r="D9" s="70"/>
      <c r="E9" s="199"/>
      <c r="F9" s="238"/>
    </row>
    <row r="10" spans="1:6" s="4" customFormat="1" ht="13.95" customHeight="1">
      <c r="A10" s="98"/>
      <c r="B10" s="99"/>
      <c r="C10" s="32"/>
      <c r="D10" s="33"/>
      <c r="E10" s="200"/>
      <c r="F10" s="239"/>
    </row>
    <row r="11" spans="1:6" s="4" customFormat="1" ht="16.2" customHeight="1">
      <c r="A11" s="100" t="s">
        <v>68</v>
      </c>
      <c r="B11" s="101" t="s">
        <v>372</v>
      </c>
      <c r="C11" s="32" t="s">
        <v>176</v>
      </c>
      <c r="D11" s="33">
        <v>1</v>
      </c>
      <c r="E11" s="200"/>
      <c r="F11" s="240">
        <f t="shared" ref="F11:F12" si="0">D11*E11</f>
        <v>0</v>
      </c>
    </row>
    <row r="12" spans="1:6" s="4" customFormat="1" ht="15.6" customHeight="1">
      <c r="A12" s="15" t="s">
        <v>5</v>
      </c>
      <c r="B12" s="16" t="s">
        <v>175</v>
      </c>
      <c r="C12" s="12" t="s">
        <v>176</v>
      </c>
      <c r="D12" s="17">
        <v>1</v>
      </c>
      <c r="E12" s="201"/>
      <c r="F12" s="240">
        <f t="shared" si="0"/>
        <v>0</v>
      </c>
    </row>
    <row r="13" spans="1:6" s="4" customFormat="1" ht="17.55" customHeight="1" thickBot="1">
      <c r="A13" s="15" t="s">
        <v>69</v>
      </c>
      <c r="B13" s="16" t="s">
        <v>174</v>
      </c>
      <c r="C13" s="12" t="s">
        <v>176</v>
      </c>
      <c r="D13" s="17">
        <v>1</v>
      </c>
      <c r="E13" s="200"/>
      <c r="F13" s="240">
        <f>D13*E13</f>
        <v>0</v>
      </c>
    </row>
    <row r="14" spans="1:6" s="4" customFormat="1" ht="16.2" thickBot="1">
      <c r="A14" s="52"/>
      <c r="B14" s="53" t="s">
        <v>155</v>
      </c>
      <c r="C14" s="54"/>
      <c r="D14" s="55"/>
      <c r="E14" s="202"/>
      <c r="F14" s="241">
        <f>SUM(F11:F13)</f>
        <v>0</v>
      </c>
    </row>
    <row r="15" spans="1:6" s="4" customFormat="1" ht="15.6">
      <c r="B15" s="71"/>
      <c r="C15" s="22"/>
      <c r="D15" s="23"/>
      <c r="E15" s="203"/>
      <c r="F15" s="240"/>
    </row>
    <row r="16" spans="1:6" s="4" customFormat="1" ht="15.6">
      <c r="A16" s="67" t="s">
        <v>14</v>
      </c>
      <c r="B16" s="72" t="s">
        <v>148</v>
      </c>
      <c r="C16" s="73"/>
      <c r="D16" s="74"/>
      <c r="E16" s="204"/>
      <c r="F16" s="238"/>
    </row>
    <row r="17" spans="1:6" s="4" customFormat="1" ht="15.6">
      <c r="A17" s="14"/>
      <c r="B17" s="21"/>
      <c r="C17" s="22"/>
      <c r="D17" s="23"/>
      <c r="E17" s="205"/>
      <c r="F17" s="240"/>
    </row>
    <row r="18" spans="1:6" s="4" customFormat="1">
      <c r="A18" s="15" t="s">
        <v>79</v>
      </c>
      <c r="B18" s="16" t="s">
        <v>80</v>
      </c>
      <c r="C18" s="12"/>
      <c r="D18" s="17"/>
      <c r="E18" s="201"/>
      <c r="F18" s="240"/>
    </row>
    <row r="19" spans="1:6" s="4" customFormat="1">
      <c r="A19" s="15" t="s">
        <v>293</v>
      </c>
      <c r="B19" s="16" t="s">
        <v>348</v>
      </c>
      <c r="C19" s="12" t="s">
        <v>7</v>
      </c>
      <c r="D19" s="50">
        <v>134.51</v>
      </c>
      <c r="E19" s="201"/>
      <c r="F19" s="240"/>
    </row>
    <row r="20" spans="1:6" s="4" customFormat="1">
      <c r="A20" s="15" t="s">
        <v>294</v>
      </c>
      <c r="B20" s="16" t="s">
        <v>340</v>
      </c>
      <c r="C20" s="12" t="s">
        <v>10</v>
      </c>
      <c r="D20" s="50">
        <f>D19*0.85*0.6</f>
        <v>68.600099999999983</v>
      </c>
      <c r="E20" s="201"/>
      <c r="F20" s="240">
        <f>D20*E20</f>
        <v>0</v>
      </c>
    </row>
    <row r="21" spans="1:6" s="4" customFormat="1" ht="17.55" customHeight="1">
      <c r="A21" s="15" t="s">
        <v>296</v>
      </c>
      <c r="B21" s="16" t="s">
        <v>83</v>
      </c>
      <c r="C21" s="12" t="s">
        <v>10</v>
      </c>
      <c r="D21" s="50">
        <f>D19*0.65*0.45</f>
        <v>39.344175</v>
      </c>
      <c r="E21" s="201"/>
      <c r="F21" s="240">
        <f t="shared" ref="F21:F22" si="1">D21*E21</f>
        <v>0</v>
      </c>
    </row>
    <row r="22" spans="1:6" s="4" customFormat="1" ht="17.55" customHeight="1" thickBot="1">
      <c r="A22" s="15" t="s">
        <v>298</v>
      </c>
      <c r="B22" s="16" t="s">
        <v>85</v>
      </c>
      <c r="C22" s="12" t="s">
        <v>10</v>
      </c>
      <c r="D22" s="50">
        <f>30.27*9.88*0.5</f>
        <v>149.53380000000001</v>
      </c>
      <c r="E22" s="201"/>
      <c r="F22" s="240">
        <f t="shared" si="1"/>
        <v>0</v>
      </c>
    </row>
    <row r="23" spans="1:6" s="4" customFormat="1" ht="17.55" customHeight="1" thickBot="1">
      <c r="A23" s="18"/>
      <c r="B23" s="268" t="s">
        <v>156</v>
      </c>
      <c r="C23" s="19"/>
      <c r="D23" s="20"/>
      <c r="E23" s="208"/>
      <c r="F23" s="269">
        <f>SUM(F20:F22)</f>
        <v>0</v>
      </c>
    </row>
    <row r="24" spans="1:6" s="4" customFormat="1" ht="17.55" customHeight="1">
      <c r="A24" s="24" t="s">
        <v>315</v>
      </c>
      <c r="B24" s="84" t="s">
        <v>173</v>
      </c>
      <c r="C24" s="25"/>
      <c r="D24" s="13"/>
      <c r="E24" s="207"/>
      <c r="F24" s="240"/>
    </row>
    <row r="25" spans="1:6" s="4" customFormat="1" ht="17.55" customHeight="1">
      <c r="A25" s="28" t="s">
        <v>17</v>
      </c>
      <c r="B25" s="27" t="s">
        <v>172</v>
      </c>
      <c r="C25" s="12"/>
      <c r="D25" s="17"/>
      <c r="E25" s="201"/>
      <c r="F25" s="240"/>
    </row>
    <row r="26" spans="1:6" s="4" customFormat="1" ht="17.55" customHeight="1">
      <c r="A26" s="28" t="s">
        <v>86</v>
      </c>
      <c r="B26" s="29" t="s">
        <v>87</v>
      </c>
      <c r="C26" s="12" t="s">
        <v>10</v>
      </c>
      <c r="D26" s="17">
        <f>D19*0.6*0.05</f>
        <v>4.0352999999999994</v>
      </c>
      <c r="E26" s="201"/>
      <c r="F26" s="240">
        <f>D26*E26</f>
        <v>0</v>
      </c>
    </row>
    <row r="27" spans="1:6" s="4" customFormat="1" ht="17.55" customHeight="1">
      <c r="A27" s="28" t="s">
        <v>88</v>
      </c>
      <c r="B27" s="29" t="s">
        <v>178</v>
      </c>
      <c r="C27" s="12" t="s">
        <v>10</v>
      </c>
      <c r="D27" s="17">
        <f>D19*0.6*0.15</f>
        <v>12.105899999999998</v>
      </c>
      <c r="E27" s="201"/>
      <c r="F27" s="240">
        <f t="shared" ref="F27:F57" si="2">D27*E27</f>
        <v>0</v>
      </c>
    </row>
    <row r="28" spans="1:6" s="4" customFormat="1" ht="17.55" customHeight="1">
      <c r="A28" s="28" t="s">
        <v>89</v>
      </c>
      <c r="B28" s="29" t="s">
        <v>362</v>
      </c>
      <c r="C28" s="12" t="s">
        <v>10</v>
      </c>
      <c r="D28" s="17">
        <f>29*0.15*0.15*0.66+9*0.15*0.2*0.66</f>
        <v>0.60885</v>
      </c>
      <c r="E28" s="201"/>
      <c r="F28" s="240">
        <f t="shared" si="2"/>
        <v>0</v>
      </c>
    </row>
    <row r="29" spans="1:6" s="4" customFormat="1" ht="17.55" customHeight="1">
      <c r="A29" s="28" t="s">
        <v>90</v>
      </c>
      <c r="B29" s="29" t="s">
        <v>363</v>
      </c>
      <c r="C29" s="12" t="s">
        <v>10</v>
      </c>
      <c r="D29" s="17">
        <f>134.51*0.2*0.15</f>
        <v>4.0353000000000003</v>
      </c>
      <c r="E29" s="201"/>
      <c r="F29" s="240">
        <f t="shared" si="2"/>
        <v>0</v>
      </c>
    </row>
    <row r="30" spans="1:6" s="4" customFormat="1">
      <c r="A30" s="28" t="s">
        <v>91</v>
      </c>
      <c r="B30" s="29" t="s">
        <v>180</v>
      </c>
      <c r="C30" s="12" t="s">
        <v>4</v>
      </c>
      <c r="D30" s="17">
        <f>134.51*1.05</f>
        <v>141.2355</v>
      </c>
      <c r="E30" s="201"/>
      <c r="F30" s="240">
        <f t="shared" si="2"/>
        <v>0</v>
      </c>
    </row>
    <row r="31" spans="1:6" s="4" customFormat="1">
      <c r="A31" s="28" t="s">
        <v>92</v>
      </c>
      <c r="B31" s="29" t="s">
        <v>341</v>
      </c>
      <c r="C31" s="32" t="s">
        <v>10</v>
      </c>
      <c r="D31" s="33">
        <f>30.27*9.88*0.1</f>
        <v>29.906760000000006</v>
      </c>
      <c r="E31" s="200"/>
      <c r="F31" s="240">
        <f t="shared" si="2"/>
        <v>0</v>
      </c>
    </row>
    <row r="32" spans="1:6" s="4" customFormat="1">
      <c r="A32" s="28"/>
      <c r="B32" s="29" t="s">
        <v>93</v>
      </c>
      <c r="C32" s="12" t="s">
        <v>4</v>
      </c>
      <c r="D32" s="17">
        <f>30.27*9.88</f>
        <v>299.06760000000003</v>
      </c>
      <c r="E32" s="201"/>
      <c r="F32" s="240">
        <f t="shared" si="2"/>
        <v>0</v>
      </c>
    </row>
    <row r="33" spans="1:6" s="4" customFormat="1">
      <c r="A33" s="28" t="s">
        <v>94</v>
      </c>
      <c r="B33" s="29" t="s">
        <v>95</v>
      </c>
      <c r="C33" s="12"/>
      <c r="D33" s="17"/>
      <c r="E33" s="201"/>
      <c r="F33" s="240"/>
    </row>
    <row r="34" spans="1:6" s="4" customFormat="1" ht="45">
      <c r="A34" s="28"/>
      <c r="B34" s="34" t="s">
        <v>354</v>
      </c>
      <c r="C34" s="12" t="s">
        <v>4</v>
      </c>
      <c r="D34" s="17">
        <f>30.27*0.44*4*2</f>
        <v>106.5504</v>
      </c>
      <c r="E34" s="201"/>
      <c r="F34" s="240">
        <f t="shared" si="2"/>
        <v>0</v>
      </c>
    </row>
    <row r="35" spans="1:6" s="4" customFormat="1">
      <c r="A35" s="28"/>
      <c r="B35" s="31" t="s">
        <v>96</v>
      </c>
      <c r="C35" s="12" t="s">
        <v>10</v>
      </c>
      <c r="D35" s="17">
        <f>30.27*0.4*0.4*2</f>
        <v>9.6864000000000008</v>
      </c>
      <c r="E35" s="201"/>
      <c r="F35" s="240">
        <f t="shared" si="2"/>
        <v>0</v>
      </c>
    </row>
    <row r="36" spans="1:6" s="4" customFormat="1">
      <c r="A36" s="28"/>
      <c r="B36" s="31" t="s">
        <v>97</v>
      </c>
      <c r="C36" s="12" t="s">
        <v>10</v>
      </c>
      <c r="D36" s="17">
        <f>30.27*0.4*0.1*2</f>
        <v>2.4216000000000002</v>
      </c>
      <c r="E36" s="201"/>
      <c r="F36" s="240">
        <f t="shared" si="2"/>
        <v>0</v>
      </c>
    </row>
    <row r="37" spans="1:6" s="4" customFormat="1" ht="15.6">
      <c r="A37" s="28" t="s">
        <v>24</v>
      </c>
      <c r="B37" s="83" t="s">
        <v>149</v>
      </c>
      <c r="C37" s="22"/>
      <c r="D37" s="17"/>
      <c r="E37" s="205"/>
      <c r="F37" s="240"/>
    </row>
    <row r="38" spans="1:6" s="4" customFormat="1">
      <c r="A38" s="28" t="s">
        <v>26</v>
      </c>
      <c r="B38" s="29" t="s">
        <v>342</v>
      </c>
      <c r="C38" s="12" t="s">
        <v>4</v>
      </c>
      <c r="D38" s="17">
        <f>(30.35*2+9.38*2+7.23*3)*3-(9*1.8*1.8+1.25*1.8*3+2.3*1.8*3+5*0.9*2.2+1.4*2.2*3+1.4*2*1.1)+5*(12*1.62/2)</f>
        <v>281.50000000000006</v>
      </c>
      <c r="E38" s="201"/>
      <c r="F38" s="240">
        <f t="shared" si="2"/>
        <v>0</v>
      </c>
    </row>
    <row r="39" spans="1:6" s="4" customFormat="1">
      <c r="A39" s="28" t="s">
        <v>373</v>
      </c>
      <c r="B39" s="29" t="s">
        <v>98</v>
      </c>
      <c r="C39" s="12" t="s">
        <v>10</v>
      </c>
      <c r="D39" s="17">
        <f>29*0.15*0.15*3.5+9*0.2*0.15*3.5</f>
        <v>3.2287499999999998</v>
      </c>
      <c r="E39" s="201"/>
      <c r="F39" s="240">
        <f t="shared" si="2"/>
        <v>0</v>
      </c>
    </row>
    <row r="40" spans="1:6" s="4" customFormat="1">
      <c r="A40" s="28" t="s">
        <v>150</v>
      </c>
      <c r="B40" s="29" t="s">
        <v>99</v>
      </c>
      <c r="C40" s="12" t="s">
        <v>10</v>
      </c>
      <c r="D40" s="17">
        <f>D29+(1*0.15*0.2+1.46*0.2*0.15)*3</f>
        <v>4.2567000000000004</v>
      </c>
      <c r="E40" s="201"/>
      <c r="F40" s="240">
        <f t="shared" si="2"/>
        <v>0</v>
      </c>
    </row>
    <row r="41" spans="1:6" s="4" customFormat="1">
      <c r="A41" s="28" t="s">
        <v>374</v>
      </c>
      <c r="B41" s="29" t="s">
        <v>102</v>
      </c>
      <c r="C41" s="12" t="s">
        <v>10</v>
      </c>
      <c r="D41" s="17">
        <f>5*10*0.2*0.1</f>
        <v>1</v>
      </c>
      <c r="E41" s="201"/>
      <c r="F41" s="240">
        <f t="shared" si="2"/>
        <v>0</v>
      </c>
    </row>
    <row r="42" spans="1:6" s="4" customFormat="1">
      <c r="A42" s="28" t="s">
        <v>27</v>
      </c>
      <c r="B42" s="29" t="s">
        <v>33</v>
      </c>
      <c r="C42" s="12"/>
      <c r="D42" s="17"/>
      <c r="E42" s="201"/>
      <c r="F42" s="240"/>
    </row>
    <row r="43" spans="1:6" s="4" customFormat="1">
      <c r="A43" s="28"/>
      <c r="B43" s="29" t="s">
        <v>177</v>
      </c>
      <c r="C43" s="12" t="s">
        <v>4</v>
      </c>
      <c r="D43" s="17">
        <f>(30.35*2+9.88+7.23)*3-D46-(4*0.9*2.2+31.14*2.2)+2*(12*1.6/2)</f>
        <v>120.042</v>
      </c>
      <c r="E43" s="201"/>
      <c r="F43" s="240">
        <f t="shared" si="2"/>
        <v>0</v>
      </c>
    </row>
    <row r="44" spans="1:6" s="4" customFormat="1">
      <c r="A44" s="28"/>
      <c r="B44" s="29" t="s">
        <v>179</v>
      </c>
      <c r="C44" s="12" t="s">
        <v>4</v>
      </c>
      <c r="D44" s="17">
        <f>(30.35*2+9.38*2+7.23*7)*3-D43-5*1*2.2+3*1.46*2.2+(2*(12*1.6/2))</f>
        <v>288.00400000000002</v>
      </c>
      <c r="E44" s="201"/>
      <c r="F44" s="240">
        <f t="shared" si="2"/>
        <v>0</v>
      </c>
    </row>
    <row r="45" spans="1:6" s="4" customFormat="1">
      <c r="A45" s="28" t="s">
        <v>28</v>
      </c>
      <c r="B45" s="29" t="s">
        <v>103</v>
      </c>
      <c r="C45" s="12"/>
      <c r="D45" s="17"/>
      <c r="E45" s="201"/>
      <c r="F45" s="240"/>
    </row>
    <row r="46" spans="1:6" s="4" customFormat="1" ht="30.6">
      <c r="A46" s="28" t="s">
        <v>29</v>
      </c>
      <c r="B46" s="51" t="s">
        <v>143</v>
      </c>
      <c r="C46" s="12" t="s">
        <v>104</v>
      </c>
      <c r="D46" s="17">
        <f>3*(3*1.8*1.8+2*2.5*1.8)</f>
        <v>56.16</v>
      </c>
      <c r="E46" s="201"/>
      <c r="F46" s="240">
        <f t="shared" si="2"/>
        <v>0</v>
      </c>
    </row>
    <row r="47" spans="1:6" s="4" customFormat="1" ht="15.6">
      <c r="A47" s="28" t="s">
        <v>6</v>
      </c>
      <c r="B47" s="83" t="s">
        <v>34</v>
      </c>
      <c r="C47" s="12"/>
      <c r="D47" s="17"/>
      <c r="E47" s="201"/>
      <c r="F47" s="240"/>
    </row>
    <row r="48" spans="1:6" s="4" customFormat="1" ht="30">
      <c r="A48" s="289" t="s">
        <v>30</v>
      </c>
      <c r="B48" s="51" t="s">
        <v>387</v>
      </c>
      <c r="C48" s="12" t="s">
        <v>9</v>
      </c>
      <c r="D48" s="17">
        <v>4</v>
      </c>
      <c r="E48" s="201"/>
      <c r="F48" s="240">
        <f t="shared" ref="F48" si="3">D48*E48</f>
        <v>0</v>
      </c>
    </row>
    <row r="49" spans="1:6" s="4" customFormat="1" ht="34.5" customHeight="1">
      <c r="A49" s="289" t="s">
        <v>31</v>
      </c>
      <c r="B49" s="51" t="s">
        <v>388</v>
      </c>
      <c r="C49" s="12" t="s">
        <v>9</v>
      </c>
      <c r="D49" s="17">
        <v>3</v>
      </c>
      <c r="E49" s="201"/>
      <c r="F49" s="240">
        <f t="shared" si="2"/>
        <v>0</v>
      </c>
    </row>
    <row r="50" spans="1:6" s="4" customFormat="1" ht="20.25" customHeight="1">
      <c r="A50" s="28" t="s">
        <v>108</v>
      </c>
      <c r="B50" s="29" t="s">
        <v>152</v>
      </c>
      <c r="C50" s="12" t="s">
        <v>9</v>
      </c>
      <c r="D50" s="17">
        <v>4</v>
      </c>
      <c r="E50" s="201"/>
      <c r="F50" s="240">
        <f t="shared" si="2"/>
        <v>0</v>
      </c>
    </row>
    <row r="51" spans="1:6" s="4" customFormat="1" ht="15.6">
      <c r="A51" s="28" t="s">
        <v>108</v>
      </c>
      <c r="B51" s="27" t="s">
        <v>36</v>
      </c>
      <c r="C51" s="12"/>
      <c r="D51" s="17"/>
      <c r="E51" s="201"/>
      <c r="F51" s="240"/>
    </row>
    <row r="52" spans="1:6" s="4" customFormat="1">
      <c r="A52" s="28" t="s">
        <v>109</v>
      </c>
      <c r="B52" s="29" t="s">
        <v>105</v>
      </c>
      <c r="C52" s="12" t="s">
        <v>10</v>
      </c>
      <c r="D52" s="17">
        <f>1*1.5*0.3</f>
        <v>0.44999999999999996</v>
      </c>
      <c r="E52" s="201"/>
      <c r="F52" s="240">
        <f t="shared" si="2"/>
        <v>0</v>
      </c>
    </row>
    <row r="53" spans="1:6" s="4" customFormat="1">
      <c r="A53" s="28" t="s">
        <v>110</v>
      </c>
      <c r="B53" s="16" t="s">
        <v>107</v>
      </c>
      <c r="C53" s="12" t="s">
        <v>10</v>
      </c>
      <c r="D53" s="17">
        <f>1*1.5*0.2</f>
        <v>0.30000000000000004</v>
      </c>
      <c r="E53" s="201"/>
      <c r="F53" s="240">
        <f t="shared" si="2"/>
        <v>0</v>
      </c>
    </row>
    <row r="54" spans="1:6" s="4" customFormat="1">
      <c r="A54" s="28" t="s">
        <v>111</v>
      </c>
      <c r="B54" s="29" t="s">
        <v>87</v>
      </c>
      <c r="C54" s="12" t="s">
        <v>10</v>
      </c>
      <c r="D54" s="17">
        <f>1*1.5*0.05</f>
        <v>7.5000000000000011E-2</v>
      </c>
      <c r="E54" s="201"/>
      <c r="F54" s="240">
        <f t="shared" si="2"/>
        <v>0</v>
      </c>
    </row>
    <row r="55" spans="1:6" s="4" customFormat="1">
      <c r="A55" s="28" t="s">
        <v>151</v>
      </c>
      <c r="B55" s="29" t="s">
        <v>106</v>
      </c>
      <c r="C55" s="12" t="s">
        <v>4</v>
      </c>
      <c r="D55" s="17">
        <f>2.5*2*0.44</f>
        <v>2.2000000000000002</v>
      </c>
      <c r="E55" s="201"/>
      <c r="F55" s="240">
        <f t="shared" si="2"/>
        <v>0</v>
      </c>
    </row>
    <row r="56" spans="1:6" s="4" customFormat="1">
      <c r="A56" s="28"/>
      <c r="B56" s="29" t="s">
        <v>20</v>
      </c>
      <c r="C56" s="12" t="s">
        <v>10</v>
      </c>
      <c r="D56" s="17">
        <f>1*1.5*0.15</f>
        <v>0.22499999999999998</v>
      </c>
      <c r="E56" s="201"/>
      <c r="F56" s="240">
        <f t="shared" si="2"/>
        <v>0</v>
      </c>
    </row>
    <row r="57" spans="1:6" s="4" customFormat="1">
      <c r="A57" s="28"/>
      <c r="B57" s="29" t="s">
        <v>61</v>
      </c>
      <c r="C57" s="12" t="s">
        <v>23</v>
      </c>
      <c r="D57" s="17">
        <f>D56*70</f>
        <v>15.749999999999998</v>
      </c>
      <c r="E57" s="201"/>
      <c r="F57" s="240">
        <f t="shared" si="2"/>
        <v>0</v>
      </c>
    </row>
    <row r="58" spans="1:6" s="4" customFormat="1" ht="15.6">
      <c r="A58" s="28" t="s">
        <v>112</v>
      </c>
      <c r="B58" s="27" t="s">
        <v>114</v>
      </c>
      <c r="C58" s="12"/>
      <c r="D58" s="17"/>
      <c r="E58" s="201"/>
      <c r="F58" s="240"/>
    </row>
    <row r="59" spans="1:6" s="4" customFormat="1">
      <c r="A59" s="28" t="s">
        <v>375</v>
      </c>
      <c r="B59" s="85" t="s">
        <v>285</v>
      </c>
      <c r="C59" s="12" t="s">
        <v>9</v>
      </c>
      <c r="D59" s="17">
        <v>4</v>
      </c>
      <c r="E59" s="201"/>
      <c r="F59" s="240">
        <f t="shared" ref="F59:F60" si="4">D59*E59</f>
        <v>0</v>
      </c>
    </row>
    <row r="60" spans="1:6" s="4" customFormat="1" ht="15.6" thickBot="1">
      <c r="A60" s="28" t="s">
        <v>113</v>
      </c>
      <c r="B60" s="85" t="s">
        <v>389</v>
      </c>
      <c r="C60" s="12" t="s">
        <v>9</v>
      </c>
      <c r="D60" s="17">
        <v>3</v>
      </c>
      <c r="E60" s="201"/>
      <c r="F60" s="240">
        <f t="shared" si="4"/>
        <v>0</v>
      </c>
    </row>
    <row r="61" spans="1:6" s="4" customFormat="1" ht="17.55" customHeight="1" thickBot="1">
      <c r="A61" s="18"/>
      <c r="B61" s="91" t="s">
        <v>115</v>
      </c>
      <c r="C61" s="19"/>
      <c r="D61" s="20"/>
      <c r="E61" s="208"/>
      <c r="F61" s="242">
        <f>SUM(F26:F60)</f>
        <v>0</v>
      </c>
    </row>
    <row r="62" spans="1:6" s="4" customFormat="1" ht="16.2" thickBot="1">
      <c r="A62" s="52"/>
      <c r="B62" s="53" t="s">
        <v>153</v>
      </c>
      <c r="C62" s="54"/>
      <c r="D62" s="55"/>
      <c r="E62" s="206"/>
      <c r="F62" s="241">
        <f>F23+F61</f>
        <v>0</v>
      </c>
    </row>
    <row r="63" spans="1:6" s="40" customFormat="1" ht="15.6">
      <c r="A63" s="37"/>
      <c r="B63" s="38"/>
      <c r="C63" s="39"/>
      <c r="D63" s="33"/>
      <c r="E63" s="200"/>
      <c r="F63" s="239"/>
    </row>
    <row r="64" spans="1:6" s="40" customFormat="1" ht="15.6">
      <c r="A64" s="87" t="s">
        <v>18</v>
      </c>
      <c r="B64" s="90" t="s">
        <v>71</v>
      </c>
      <c r="C64" s="88"/>
      <c r="D64" s="89"/>
      <c r="E64" s="209"/>
      <c r="F64" s="243"/>
    </row>
    <row r="65" spans="1:6" s="40" customFormat="1" ht="15.6">
      <c r="A65" s="86"/>
      <c r="B65" s="244"/>
      <c r="C65" s="32"/>
      <c r="D65" s="33"/>
      <c r="E65" s="200"/>
      <c r="F65" s="239"/>
    </row>
    <row r="66" spans="1:6" s="4" customFormat="1">
      <c r="A66" s="28" t="s">
        <v>116</v>
      </c>
      <c r="B66" s="29" t="s">
        <v>117</v>
      </c>
      <c r="C66" s="12"/>
      <c r="D66" s="17"/>
      <c r="E66" s="201"/>
      <c r="F66" s="240"/>
    </row>
    <row r="67" spans="1:6" s="4" customFormat="1">
      <c r="A67" s="15" t="s">
        <v>118</v>
      </c>
      <c r="B67" s="16" t="s">
        <v>120</v>
      </c>
      <c r="C67" s="12" t="s">
        <v>10</v>
      </c>
      <c r="D67" s="17">
        <f>(31.27*10.88)/100</f>
        <v>3.4021759999999999</v>
      </c>
      <c r="E67" s="210"/>
      <c r="F67" s="240">
        <f t="shared" ref="F67:F68" si="5">D67*E67</f>
        <v>0</v>
      </c>
    </row>
    <row r="68" spans="1:6" s="4" customFormat="1" ht="15.6" thickBot="1">
      <c r="A68" s="15" t="s">
        <v>119</v>
      </c>
      <c r="B68" s="16" t="s">
        <v>122</v>
      </c>
      <c r="C68" s="12" t="s">
        <v>9</v>
      </c>
      <c r="D68" s="17">
        <v>20</v>
      </c>
      <c r="E68" s="201"/>
      <c r="F68" s="240">
        <f t="shared" si="5"/>
        <v>0</v>
      </c>
    </row>
    <row r="69" spans="1:6" s="4" customFormat="1" ht="16.2" thickBot="1">
      <c r="A69" s="56"/>
      <c r="B69" s="53" t="s">
        <v>154</v>
      </c>
      <c r="C69" s="57"/>
      <c r="D69" s="58"/>
      <c r="E69" s="211"/>
      <c r="F69" s="241">
        <f>SUM(F67:F68)</f>
        <v>0</v>
      </c>
    </row>
    <row r="70" spans="1:6" s="4" customFormat="1" ht="15.6">
      <c r="A70" s="41"/>
      <c r="B70" s="42"/>
      <c r="C70" s="25"/>
      <c r="D70" s="17"/>
      <c r="E70" s="207"/>
      <c r="F70" s="240"/>
    </row>
    <row r="71" spans="1:6" s="4" customFormat="1" ht="15.6">
      <c r="A71" s="87" t="s">
        <v>41</v>
      </c>
      <c r="B71" s="92" t="s">
        <v>42</v>
      </c>
      <c r="C71" s="88"/>
      <c r="D71" s="89"/>
      <c r="E71" s="209"/>
      <c r="F71" s="243"/>
    </row>
    <row r="72" spans="1:6" s="4" customFormat="1" ht="15.6">
      <c r="A72" s="26"/>
      <c r="B72" s="42"/>
      <c r="C72" s="12"/>
      <c r="D72" s="17"/>
      <c r="E72" s="201"/>
      <c r="F72" s="240"/>
    </row>
    <row r="73" spans="1:6" s="4" customFormat="1" ht="15.6">
      <c r="A73" s="28" t="s">
        <v>123</v>
      </c>
      <c r="B73" s="42" t="s">
        <v>161</v>
      </c>
      <c r="C73" s="12"/>
      <c r="D73" s="17"/>
      <c r="E73" s="201"/>
      <c r="F73" s="240"/>
    </row>
    <row r="74" spans="1:6" s="4" customFormat="1">
      <c r="A74" s="28" t="s">
        <v>124</v>
      </c>
      <c r="B74" s="29" t="s">
        <v>700</v>
      </c>
      <c r="C74" s="12" t="s">
        <v>4</v>
      </c>
      <c r="D74" s="17">
        <f>31.87*12</f>
        <v>382.44</v>
      </c>
      <c r="E74" s="201"/>
      <c r="F74" s="240">
        <f>D74*E74</f>
        <v>0</v>
      </c>
    </row>
    <row r="75" spans="1:6" s="4" customFormat="1" ht="15.6">
      <c r="A75" s="28" t="s">
        <v>125</v>
      </c>
      <c r="B75" s="42" t="s">
        <v>126</v>
      </c>
      <c r="C75" s="12"/>
      <c r="D75" s="17"/>
      <c r="E75" s="201"/>
      <c r="F75" s="240"/>
    </row>
    <row r="76" spans="1:6" s="4" customFormat="1" ht="15.6">
      <c r="A76" s="28" t="s">
        <v>127</v>
      </c>
      <c r="B76" s="29" t="s">
        <v>695</v>
      </c>
      <c r="C76" s="12" t="s">
        <v>7</v>
      </c>
      <c r="D76" s="17">
        <v>31.87</v>
      </c>
      <c r="E76" s="201"/>
      <c r="F76" s="240">
        <f t="shared" ref="F76:F78" si="6">D76*E76</f>
        <v>0</v>
      </c>
    </row>
    <row r="77" spans="1:6" s="4" customFormat="1" ht="15.6">
      <c r="A77" s="28" t="s">
        <v>128</v>
      </c>
      <c r="B77" s="42" t="s">
        <v>130</v>
      </c>
      <c r="C77" s="22"/>
      <c r="D77" s="17"/>
      <c r="E77" s="205"/>
      <c r="F77" s="240"/>
    </row>
    <row r="78" spans="1:6" s="4" customFormat="1" ht="15.6" thickBot="1">
      <c r="A78" s="35" t="s">
        <v>129</v>
      </c>
      <c r="B78" s="29" t="s">
        <v>343</v>
      </c>
      <c r="C78" s="36" t="s">
        <v>4</v>
      </c>
      <c r="D78" s="17">
        <f>(31.87*2+24)*0.4</f>
        <v>35.096000000000004</v>
      </c>
      <c r="E78" s="212"/>
      <c r="F78" s="240">
        <f t="shared" si="6"/>
        <v>0</v>
      </c>
    </row>
    <row r="79" spans="1:6" s="4" customFormat="1" ht="16.2" thickBot="1">
      <c r="A79" s="56"/>
      <c r="B79" s="53" t="s">
        <v>157</v>
      </c>
      <c r="C79" s="54"/>
      <c r="D79" s="55"/>
      <c r="E79" s="206"/>
      <c r="F79" s="241">
        <f>SUM(F74:F78)</f>
        <v>0</v>
      </c>
    </row>
    <row r="80" spans="1:6" s="4" customFormat="1" ht="15.6">
      <c r="A80" s="14"/>
      <c r="B80" s="43"/>
      <c r="C80" s="12"/>
      <c r="D80" s="17"/>
      <c r="E80" s="201"/>
      <c r="F80" s="240"/>
    </row>
    <row r="81" spans="1:6" s="4" customFormat="1" ht="15.6">
      <c r="A81" s="93" t="s">
        <v>47</v>
      </c>
      <c r="B81" s="90" t="s">
        <v>48</v>
      </c>
      <c r="C81" s="88"/>
      <c r="D81" s="89"/>
      <c r="E81" s="209"/>
      <c r="F81" s="243"/>
    </row>
    <row r="82" spans="1:6" s="4" customFormat="1" ht="15.6">
      <c r="A82" s="14"/>
      <c r="B82" s="43"/>
      <c r="C82" s="12"/>
      <c r="D82" s="17"/>
      <c r="E82" s="201"/>
      <c r="F82" s="240"/>
    </row>
    <row r="83" spans="1:6" s="4" customFormat="1" ht="15.6">
      <c r="A83" s="16" t="s">
        <v>49</v>
      </c>
      <c r="B83" s="43" t="s">
        <v>51</v>
      </c>
      <c r="C83" s="12"/>
      <c r="D83" s="17"/>
      <c r="E83" s="201"/>
      <c r="F83" s="240"/>
    </row>
    <row r="84" spans="1:6" s="4" customFormat="1" ht="15.6" thickBot="1">
      <c r="A84" s="29" t="s">
        <v>50</v>
      </c>
      <c r="B84" s="44" t="s">
        <v>162</v>
      </c>
      <c r="C84" s="12" t="s">
        <v>131</v>
      </c>
      <c r="D84" s="17">
        <v>1</v>
      </c>
      <c r="E84" s="201"/>
      <c r="F84" s="240">
        <f>D84*E84</f>
        <v>0</v>
      </c>
    </row>
    <row r="85" spans="1:6" s="4" customFormat="1" ht="16.2" thickBot="1">
      <c r="A85" s="81"/>
      <c r="B85" s="82" t="s">
        <v>158</v>
      </c>
      <c r="C85" s="79"/>
      <c r="D85" s="78"/>
      <c r="E85" s="213"/>
      <c r="F85" s="245">
        <f>F84</f>
        <v>0</v>
      </c>
    </row>
    <row r="86" spans="1:6" s="4" customFormat="1" ht="15.6">
      <c r="A86" s="41"/>
      <c r="B86" s="42"/>
      <c r="C86" s="45"/>
      <c r="D86" s="46"/>
      <c r="E86" s="207"/>
      <c r="F86" s="240"/>
    </row>
    <row r="87" spans="1:6" s="4" customFormat="1" ht="15.6">
      <c r="A87" s="93" t="s">
        <v>53</v>
      </c>
      <c r="B87" s="94" t="s">
        <v>55</v>
      </c>
      <c r="C87" s="95"/>
      <c r="D87" s="96"/>
      <c r="E87" s="214"/>
      <c r="F87" s="243"/>
    </row>
    <row r="88" spans="1:6" s="4" customFormat="1" ht="15.6">
      <c r="A88" s="14"/>
      <c r="B88" s="47"/>
      <c r="C88" s="22"/>
      <c r="D88" s="23"/>
      <c r="E88" s="205"/>
      <c r="F88" s="240"/>
    </row>
    <row r="89" spans="1:6" s="4" customFormat="1" ht="15.6">
      <c r="A89" s="15" t="s">
        <v>325</v>
      </c>
      <c r="B89" s="47" t="s">
        <v>134</v>
      </c>
      <c r="C89" s="12"/>
      <c r="D89" s="17"/>
      <c r="E89" s="201"/>
      <c r="F89" s="240"/>
    </row>
    <row r="90" spans="1:6" s="4" customFormat="1">
      <c r="A90" s="15" t="s">
        <v>326</v>
      </c>
      <c r="B90" s="16" t="s">
        <v>344</v>
      </c>
      <c r="C90" s="12" t="s">
        <v>9</v>
      </c>
      <c r="D90" s="17">
        <v>3</v>
      </c>
      <c r="E90" s="201"/>
      <c r="F90" s="240">
        <f>D90*E90</f>
        <v>0</v>
      </c>
    </row>
    <row r="91" spans="1:6" s="4" customFormat="1">
      <c r="A91" s="15" t="s">
        <v>376</v>
      </c>
      <c r="B91" s="16" t="s">
        <v>357</v>
      </c>
      <c r="C91" s="12" t="s">
        <v>9</v>
      </c>
      <c r="D91" s="17">
        <v>5</v>
      </c>
      <c r="E91" s="201"/>
      <c r="F91" s="240">
        <f>D91*E91</f>
        <v>0</v>
      </c>
    </row>
    <row r="92" spans="1:6" s="4" customFormat="1" ht="15.6">
      <c r="A92" s="15" t="s">
        <v>377</v>
      </c>
      <c r="B92" s="47" t="s">
        <v>135</v>
      </c>
      <c r="C92" s="12"/>
      <c r="D92" s="17"/>
      <c r="E92" s="201"/>
      <c r="F92" s="240"/>
    </row>
    <row r="93" spans="1:6" s="4" customFormat="1">
      <c r="A93" s="15" t="s">
        <v>378</v>
      </c>
      <c r="B93" s="16" t="s">
        <v>358</v>
      </c>
      <c r="C93" s="12" t="s">
        <v>9</v>
      </c>
      <c r="D93" s="17">
        <v>4</v>
      </c>
      <c r="E93" s="201"/>
      <c r="F93" s="240">
        <f t="shared" ref="F93" si="7">D93*E93</f>
        <v>0</v>
      </c>
    </row>
    <row r="94" spans="1:6" s="4" customFormat="1" ht="15.6">
      <c r="A94" s="15" t="s">
        <v>379</v>
      </c>
      <c r="B94" s="47" t="s">
        <v>394</v>
      </c>
      <c r="C94" s="12"/>
      <c r="D94" s="17"/>
      <c r="E94" s="201"/>
      <c r="F94" s="240"/>
    </row>
    <row r="95" spans="1:6" s="4" customFormat="1" ht="15.6" thickBot="1">
      <c r="A95" s="15" t="s">
        <v>380</v>
      </c>
      <c r="B95" s="16" t="s">
        <v>393</v>
      </c>
      <c r="C95" s="12" t="s">
        <v>9</v>
      </c>
      <c r="D95" s="17">
        <v>2</v>
      </c>
      <c r="E95" s="201"/>
      <c r="F95" s="240">
        <f t="shared" ref="F95" si="8">D95*E95</f>
        <v>0</v>
      </c>
    </row>
    <row r="96" spans="1:6" s="4" customFormat="1" ht="16.2" thickBot="1">
      <c r="A96" s="81"/>
      <c r="B96" s="76" t="s">
        <v>159</v>
      </c>
      <c r="C96" s="77"/>
      <c r="D96" s="80"/>
      <c r="E96" s="215"/>
      <c r="F96" s="245">
        <f>SUM(F90:F95)</f>
        <v>0</v>
      </c>
    </row>
    <row r="97" spans="1:6" s="4" customFormat="1" ht="15.6">
      <c r="A97" s="41"/>
      <c r="B97" s="42"/>
      <c r="C97" s="45"/>
      <c r="D97" s="46"/>
      <c r="E97" s="207"/>
      <c r="F97" s="240"/>
    </row>
    <row r="98" spans="1:6" s="4" customFormat="1" ht="15.6">
      <c r="A98" s="93" t="s">
        <v>72</v>
      </c>
      <c r="B98" s="94" t="s">
        <v>391</v>
      </c>
      <c r="C98" s="95"/>
      <c r="D98" s="96"/>
      <c r="E98" s="214"/>
      <c r="F98" s="243"/>
    </row>
    <row r="99" spans="1:6" s="4" customFormat="1" ht="15.6">
      <c r="A99" s="14"/>
      <c r="B99" s="47"/>
      <c r="C99" s="22"/>
      <c r="D99" s="23"/>
      <c r="E99" s="205"/>
      <c r="F99" s="240"/>
    </row>
    <row r="100" spans="1:6" s="4" customFormat="1" ht="15.6">
      <c r="A100" s="15" t="s">
        <v>132</v>
      </c>
      <c r="B100" s="47" t="s">
        <v>395</v>
      </c>
      <c r="C100" s="12"/>
      <c r="D100" s="17"/>
      <c r="E100" s="201"/>
      <c r="F100" s="240"/>
    </row>
    <row r="101" spans="1:6" s="298" customFormat="1">
      <c r="A101" s="292" t="s">
        <v>163</v>
      </c>
      <c r="B101" s="48" t="s">
        <v>396</v>
      </c>
      <c r="C101" s="294" t="s">
        <v>9</v>
      </c>
      <c r="D101" s="295">
        <v>2</v>
      </c>
      <c r="E101" s="296"/>
      <c r="F101" s="297">
        <f>D101*E101</f>
        <v>0</v>
      </c>
    </row>
    <row r="102" spans="1:6" s="298" customFormat="1">
      <c r="A102" s="292" t="s">
        <v>163</v>
      </c>
      <c r="B102" s="299" t="s">
        <v>397</v>
      </c>
      <c r="C102" s="294" t="s">
        <v>7</v>
      </c>
      <c r="D102" s="295">
        <f>1.1*8</f>
        <v>8.8000000000000007</v>
      </c>
      <c r="E102" s="296"/>
      <c r="F102" s="297">
        <f>D102*E102</f>
        <v>0</v>
      </c>
    </row>
    <row r="103" spans="1:6" s="298" customFormat="1" ht="15.6">
      <c r="A103" s="292" t="s">
        <v>133</v>
      </c>
      <c r="B103" s="293" t="s">
        <v>398</v>
      </c>
      <c r="C103" s="294"/>
      <c r="D103" s="295"/>
      <c r="E103" s="296"/>
      <c r="F103" s="297"/>
    </row>
    <row r="104" spans="1:6" s="298" customFormat="1" ht="15.6" thickBot="1">
      <c r="A104" s="292" t="s">
        <v>164</v>
      </c>
      <c r="B104" s="299" t="s">
        <v>399</v>
      </c>
      <c r="C104" s="294" t="s">
        <v>4</v>
      </c>
      <c r="D104" s="295">
        <f>1.5*1.1*2</f>
        <v>3.3000000000000003</v>
      </c>
      <c r="E104" s="296"/>
      <c r="F104" s="297">
        <f>D104*E104</f>
        <v>0</v>
      </c>
    </row>
    <row r="105" spans="1:6" s="4" customFormat="1" ht="16.2" thickBot="1">
      <c r="A105" s="81"/>
      <c r="B105" s="76" t="s">
        <v>392</v>
      </c>
      <c r="C105" s="77"/>
      <c r="D105" s="80"/>
      <c r="E105" s="215"/>
      <c r="F105" s="245">
        <f>SUM(F101:F104)</f>
        <v>0</v>
      </c>
    </row>
    <row r="106" spans="1:6" s="4" customFormat="1" ht="15.6">
      <c r="A106" s="14"/>
      <c r="B106" s="11"/>
      <c r="C106" s="12"/>
      <c r="D106" s="17"/>
      <c r="E106" s="201"/>
      <c r="F106" s="240"/>
    </row>
    <row r="107" spans="1:6" s="4" customFormat="1" ht="15.6">
      <c r="A107" s="93" t="s">
        <v>72</v>
      </c>
      <c r="B107" s="97" t="s">
        <v>11</v>
      </c>
      <c r="C107" s="88"/>
      <c r="D107" s="96"/>
      <c r="E107" s="214"/>
      <c r="F107" s="243"/>
    </row>
    <row r="108" spans="1:6" s="4" customFormat="1" ht="15.6">
      <c r="A108" s="14"/>
      <c r="B108" s="11"/>
      <c r="C108" s="12"/>
      <c r="D108" s="23"/>
      <c r="E108" s="205"/>
      <c r="F108" s="240"/>
    </row>
    <row r="109" spans="1:6" s="30" customFormat="1" ht="15.6">
      <c r="A109" s="15" t="s">
        <v>132</v>
      </c>
      <c r="B109" s="47" t="s">
        <v>137</v>
      </c>
      <c r="C109" s="49"/>
      <c r="D109" s="46"/>
      <c r="E109" s="216"/>
      <c r="F109" s="240"/>
    </row>
    <row r="110" spans="1:6" s="30" customFormat="1">
      <c r="A110" s="15" t="s">
        <v>163</v>
      </c>
      <c r="B110" s="48" t="s">
        <v>59</v>
      </c>
      <c r="C110" s="12" t="s">
        <v>4</v>
      </c>
      <c r="D110" s="17">
        <f>(30.27*2+9.88+7.23)*2-(3*1.46*2.2+3*1*2.2)</f>
        <v>139.06400000000002</v>
      </c>
      <c r="E110" s="201"/>
      <c r="F110" s="240">
        <f>D110*E110</f>
        <v>0</v>
      </c>
    </row>
    <row r="111" spans="1:6" s="30" customFormat="1" ht="30.6">
      <c r="A111" s="290" t="s">
        <v>381</v>
      </c>
      <c r="B111" s="48" t="s">
        <v>138</v>
      </c>
      <c r="C111" s="12" t="s">
        <v>4</v>
      </c>
      <c r="D111" s="17">
        <f>(30.27*2+9.88+7.23)*1.5</f>
        <v>116.47500000000001</v>
      </c>
      <c r="E111" s="201"/>
      <c r="F111" s="240">
        <f t="shared" ref="F111:F118" si="9">D111*E111</f>
        <v>0</v>
      </c>
    </row>
    <row r="112" spans="1:6" s="4" customFormat="1" ht="15.6">
      <c r="A112" s="15" t="s">
        <v>133</v>
      </c>
      <c r="B112" s="47" t="s">
        <v>139</v>
      </c>
      <c r="C112" s="12"/>
      <c r="D112" s="17"/>
      <c r="E112" s="201"/>
      <c r="F112" s="240"/>
    </row>
    <row r="113" spans="1:6" s="4" customFormat="1">
      <c r="A113" s="15" t="s">
        <v>164</v>
      </c>
      <c r="B113" s="48" t="s">
        <v>60</v>
      </c>
      <c r="C113" s="12" t="s">
        <v>4</v>
      </c>
      <c r="D113" s="17">
        <f>(30.27*2+9.88+7.23*6)*3.5-(3*1.46*2.2+4*1*2.2)</f>
        <v>379.86400000000009</v>
      </c>
      <c r="E113" s="201"/>
      <c r="F113" s="240">
        <f t="shared" si="9"/>
        <v>0</v>
      </c>
    </row>
    <row r="114" spans="1:6" s="4" customFormat="1" ht="15.6">
      <c r="A114" s="15" t="s">
        <v>383</v>
      </c>
      <c r="B114" s="47" t="s">
        <v>140</v>
      </c>
      <c r="C114" s="12"/>
      <c r="D114" s="17"/>
      <c r="E114" s="205"/>
      <c r="F114" s="240"/>
    </row>
    <row r="115" spans="1:6" s="4" customFormat="1" ht="28.5" customHeight="1">
      <c r="A115" s="291" t="s">
        <v>384</v>
      </c>
      <c r="B115" s="48" t="s">
        <v>141</v>
      </c>
      <c r="C115" s="12" t="s">
        <v>4</v>
      </c>
      <c r="D115" s="17">
        <f>2*(3*1.46*2.2+5*1*2.2)</f>
        <v>41.272000000000006</v>
      </c>
      <c r="E115" s="201"/>
      <c r="F115" s="240">
        <f t="shared" si="9"/>
        <v>0</v>
      </c>
    </row>
    <row r="116" spans="1:6" s="4" customFormat="1" ht="15.6">
      <c r="A116" s="16" t="s">
        <v>382</v>
      </c>
      <c r="B116" s="47" t="s">
        <v>345</v>
      </c>
      <c r="C116" s="12"/>
      <c r="D116" s="17"/>
      <c r="E116" s="201"/>
      <c r="F116" s="240"/>
    </row>
    <row r="117" spans="1:6" s="4" customFormat="1">
      <c r="A117" s="16" t="s">
        <v>385</v>
      </c>
      <c r="B117" s="48" t="s">
        <v>390</v>
      </c>
      <c r="C117" s="12" t="s">
        <v>4</v>
      </c>
      <c r="D117" s="17">
        <f>6*1.4*3+4*3*1.4</f>
        <v>41.999999999999993</v>
      </c>
      <c r="E117" s="201"/>
      <c r="F117" s="240">
        <f t="shared" ref="F117" si="10">D117*E117</f>
        <v>0</v>
      </c>
    </row>
    <row r="118" spans="1:6" s="4" customFormat="1" ht="15.6" thickBot="1">
      <c r="A118" s="16" t="s">
        <v>386</v>
      </c>
      <c r="B118" s="48" t="s">
        <v>142</v>
      </c>
      <c r="C118" s="12" t="s">
        <v>4</v>
      </c>
      <c r="D118" s="17">
        <f>6*1.4*3+4*3*1.4</f>
        <v>41.999999999999993</v>
      </c>
      <c r="E118" s="201"/>
      <c r="F118" s="240">
        <f t="shared" si="9"/>
        <v>0</v>
      </c>
    </row>
    <row r="119" spans="1:6" s="4" customFormat="1" ht="16.2" thickBot="1">
      <c r="A119" s="75"/>
      <c r="B119" s="76" t="s">
        <v>160</v>
      </c>
      <c r="C119" s="77"/>
      <c r="D119" s="78"/>
      <c r="E119" s="79"/>
      <c r="F119" s="245">
        <f>SUM(F109:F118)</f>
        <v>0</v>
      </c>
    </row>
    <row r="120" spans="1:6" s="40" customFormat="1" ht="16.2" thickBot="1">
      <c r="A120" s="189"/>
      <c r="B120" s="190"/>
      <c r="C120" s="191"/>
      <c r="D120" s="192"/>
      <c r="E120" s="193"/>
      <c r="F120" s="246"/>
    </row>
    <row r="121" spans="1:6" s="4" customFormat="1" ht="16.2" thickBot="1">
      <c r="A121" s="59"/>
      <c r="B121" s="60" t="s">
        <v>286</v>
      </c>
      <c r="C121" s="61"/>
      <c r="D121" s="62"/>
      <c r="E121" s="63"/>
      <c r="F121" s="247">
        <f>F14+F62+F69+F79+F85+F96+F105+F119</f>
        <v>0</v>
      </c>
    </row>
    <row r="122" spans="1:6" s="40" customFormat="1" ht="16.2" thickBot="1">
      <c r="A122" s="189"/>
      <c r="B122" s="190"/>
      <c r="C122" s="191"/>
      <c r="D122" s="192"/>
      <c r="E122" s="193"/>
      <c r="F122" s="246"/>
    </row>
    <row r="123" spans="1:6" s="4" customFormat="1" ht="18" thickBot="1">
      <c r="A123" s="59"/>
      <c r="B123" s="313" t="s">
        <v>346</v>
      </c>
      <c r="C123" s="61"/>
      <c r="D123" s="194">
        <v>0.1</v>
      </c>
      <c r="E123" s="63"/>
      <c r="F123" s="248">
        <f>F121*D123</f>
        <v>0</v>
      </c>
    </row>
    <row r="124" spans="1:6" s="40" customFormat="1" ht="16.2" thickBot="1">
      <c r="A124" s="31"/>
      <c r="B124" s="244"/>
      <c r="C124" s="249"/>
      <c r="D124" s="250"/>
      <c r="E124" s="251"/>
      <c r="F124" s="252"/>
    </row>
    <row r="125" spans="1:6" s="4" customFormat="1" ht="16.2" thickBot="1">
      <c r="A125" s="59"/>
      <c r="B125" s="60" t="s">
        <v>347</v>
      </c>
      <c r="C125" s="61"/>
      <c r="D125" s="62"/>
      <c r="E125" s="63"/>
      <c r="F125" s="248">
        <f>F121+F123</f>
        <v>0</v>
      </c>
    </row>
    <row r="126" spans="1:6" s="40" customFormat="1" ht="15.6">
      <c r="A126" s="31"/>
      <c r="B126" s="244"/>
      <c r="C126" s="249"/>
      <c r="D126" s="250"/>
      <c r="E126" s="251"/>
      <c r="F126" s="252"/>
    </row>
  </sheetData>
  <sheetProtection selectLockedCells="1"/>
  <mergeCells count="2">
    <mergeCell ref="B4:C4"/>
    <mergeCell ref="A5:F5"/>
  </mergeCells>
  <phoneticPr fontId="35" type="noConversion"/>
  <pageMargins left="0.7" right="0.7" top="0.75" bottom="0.75" header="0.3" footer="0.3"/>
  <pageSetup paperSize="9" scale="53" fitToHeight="4" orientation="portrait" r:id="rId1"/>
  <rowBreaks count="1" manualBreakCount="1">
    <brk id="79" max="5" man="1"/>
  </row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AA77FC-048B-4515-950F-D68FB8D21A9B}">
  <sheetPr>
    <tabColor theme="0"/>
  </sheetPr>
  <dimension ref="A1:H135"/>
  <sheetViews>
    <sheetView view="pageBreakPreview" topLeftCell="A58" zoomScaleNormal="100" zoomScaleSheetLayoutView="100" workbookViewId="0">
      <selection activeCell="B87" sqref="B87"/>
    </sheetView>
  </sheetViews>
  <sheetFormatPr baseColWidth="10" defaultRowHeight="14.4"/>
  <cols>
    <col min="2" max="2" width="53.21875" customWidth="1"/>
    <col min="3" max="3" width="7.21875" customWidth="1"/>
    <col min="6" max="6" width="15.5546875" customWidth="1"/>
  </cols>
  <sheetData>
    <row r="1" spans="1:6" ht="89.55" customHeight="1">
      <c r="A1" s="535"/>
      <c r="B1" s="535"/>
      <c r="C1" s="535"/>
      <c r="D1" s="535"/>
      <c r="E1" s="535"/>
      <c r="F1" s="535"/>
    </row>
    <row r="2" spans="1:6">
      <c r="D2" s="188"/>
    </row>
    <row r="3" spans="1:6" s="197" customFormat="1" ht="17.25" customHeight="1">
      <c r="A3" s="536" t="s">
        <v>352</v>
      </c>
      <c r="B3" s="537"/>
      <c r="C3" s="537"/>
      <c r="D3" s="537"/>
      <c r="E3" s="537"/>
      <c r="F3" s="538"/>
    </row>
    <row r="4" spans="1:6" s="29" customFormat="1" ht="12.75" customHeight="1" thickBot="1">
      <c r="A4" s="111"/>
      <c r="B4" s="111"/>
      <c r="C4" s="112"/>
      <c r="D4" s="113"/>
      <c r="E4" s="112"/>
      <c r="F4" s="112"/>
    </row>
    <row r="5" spans="1:6" s="29" customFormat="1" ht="29.4" thickTop="1">
      <c r="A5" s="114" t="s">
        <v>12</v>
      </c>
      <c r="B5" s="115" t="s">
        <v>8</v>
      </c>
      <c r="C5" s="116" t="s">
        <v>0</v>
      </c>
      <c r="D5" s="117" t="s">
        <v>2</v>
      </c>
      <c r="E5" s="116" t="s">
        <v>3</v>
      </c>
      <c r="F5" s="116" t="s">
        <v>1</v>
      </c>
    </row>
    <row r="6" spans="1:6" s="29" customFormat="1" ht="15.6">
      <c r="A6" s="118"/>
      <c r="B6" s="119"/>
      <c r="C6" s="120"/>
      <c r="D6" s="121"/>
      <c r="E6" s="217"/>
      <c r="F6" s="120"/>
    </row>
    <row r="7" spans="1:6" s="29" customFormat="1" ht="18" customHeight="1">
      <c r="A7" s="122" t="s">
        <v>13</v>
      </c>
      <c r="B7" s="123" t="s">
        <v>181</v>
      </c>
      <c r="C7" s="124"/>
      <c r="D7" s="125"/>
      <c r="E7" s="218"/>
      <c r="F7" s="124"/>
    </row>
    <row r="8" spans="1:6" s="31" customFormat="1" ht="18" customHeight="1">
      <c r="A8" s="126" t="s">
        <v>68</v>
      </c>
      <c r="B8" s="127" t="s">
        <v>339</v>
      </c>
      <c r="C8" s="128" t="s">
        <v>182</v>
      </c>
      <c r="D8" s="129">
        <v>0</v>
      </c>
      <c r="E8" s="219"/>
      <c r="F8" s="130">
        <f>D8*E8</f>
        <v>0</v>
      </c>
    </row>
    <row r="9" spans="1:6" s="31" customFormat="1" ht="18" customHeight="1">
      <c r="A9" s="126" t="s">
        <v>5</v>
      </c>
      <c r="B9" s="127" t="s">
        <v>175</v>
      </c>
      <c r="C9" s="128" t="s">
        <v>182</v>
      </c>
      <c r="D9" s="129">
        <v>0</v>
      </c>
      <c r="E9" s="219"/>
      <c r="F9" s="130">
        <f>D9*E9</f>
        <v>0</v>
      </c>
    </row>
    <row r="10" spans="1:6" s="31" customFormat="1" ht="18" customHeight="1">
      <c r="A10" s="126" t="s">
        <v>69</v>
      </c>
      <c r="B10" s="127">
        <v>1</v>
      </c>
      <c r="C10" s="128" t="s">
        <v>182</v>
      </c>
      <c r="D10" s="129">
        <v>1</v>
      </c>
      <c r="E10" s="219"/>
      <c r="F10" s="130">
        <f>D10*E10</f>
        <v>0</v>
      </c>
    </row>
    <row r="11" spans="1:6" s="29" customFormat="1" ht="15.6">
      <c r="A11" s="118"/>
      <c r="B11" s="131" t="s">
        <v>183</v>
      </c>
      <c r="C11" s="132"/>
      <c r="D11" s="133"/>
      <c r="E11" s="220"/>
      <c r="F11" s="134">
        <f>SUM(F8:F10)</f>
        <v>0</v>
      </c>
    </row>
    <row r="12" spans="1:6" s="29" customFormat="1" ht="15.6">
      <c r="A12" s="118"/>
      <c r="B12" s="119"/>
      <c r="C12" s="120"/>
      <c r="D12" s="135"/>
      <c r="E12" s="221"/>
      <c r="F12" s="136"/>
    </row>
    <row r="13" spans="1:6" s="29" customFormat="1" ht="15.6">
      <c r="A13" s="122" t="s">
        <v>14</v>
      </c>
      <c r="B13" s="123" t="s">
        <v>15</v>
      </c>
      <c r="C13" s="124"/>
      <c r="D13" s="125"/>
      <c r="E13" s="218"/>
      <c r="F13" s="124"/>
    </row>
    <row r="14" spans="1:6" s="29" customFormat="1" ht="17.25" customHeight="1">
      <c r="A14" s="137">
        <v>2</v>
      </c>
      <c r="B14" s="138" t="s">
        <v>184</v>
      </c>
      <c r="C14" s="139"/>
      <c r="D14" s="140"/>
      <c r="E14" s="222"/>
      <c r="F14" s="136"/>
    </row>
    <row r="15" spans="1:6" s="31" customFormat="1" ht="17.25" customHeight="1">
      <c r="A15" s="126" t="s">
        <v>79</v>
      </c>
      <c r="B15" s="141" t="s">
        <v>350</v>
      </c>
      <c r="C15" s="142" t="s">
        <v>282</v>
      </c>
      <c r="D15" s="143">
        <f>49.75*0.85*0.6</f>
        <v>25.372499999999999</v>
      </c>
      <c r="E15" s="223"/>
      <c r="F15" s="130">
        <f>D15*E15</f>
        <v>0</v>
      </c>
    </row>
    <row r="16" spans="1:6" s="31" customFormat="1" ht="17.25" customHeight="1">
      <c r="A16" s="126" t="s">
        <v>81</v>
      </c>
      <c r="B16" s="141" t="s">
        <v>185</v>
      </c>
      <c r="C16" s="142" t="s">
        <v>282</v>
      </c>
      <c r="D16" s="143">
        <f>49.75*0.45*0.4</f>
        <v>8.9550000000000001</v>
      </c>
      <c r="E16" s="223"/>
      <c r="F16" s="130">
        <f>D16*E16</f>
        <v>0</v>
      </c>
    </row>
    <row r="17" spans="1:6" s="31" customFormat="1" ht="17.25" customHeight="1">
      <c r="A17" s="126" t="s">
        <v>82</v>
      </c>
      <c r="B17" s="141" t="s">
        <v>186</v>
      </c>
      <c r="C17" s="142" t="s">
        <v>282</v>
      </c>
      <c r="D17" s="143">
        <f>12*7.45*0.75</f>
        <v>67.050000000000011</v>
      </c>
      <c r="E17" s="223"/>
      <c r="F17" s="130">
        <f>D17*E17</f>
        <v>0</v>
      </c>
    </row>
    <row r="18" spans="1:6" s="29" customFormat="1" ht="15.6">
      <c r="A18" s="144"/>
      <c r="B18" s="145" t="s">
        <v>187</v>
      </c>
      <c r="C18" s="146"/>
      <c r="D18" s="147"/>
      <c r="E18" s="224"/>
      <c r="F18" s="148">
        <f>SUM(F15:F17)</f>
        <v>0</v>
      </c>
    </row>
    <row r="19" spans="1:6" s="29" customFormat="1" ht="15.6">
      <c r="A19" s="144"/>
      <c r="B19" s="149"/>
      <c r="C19" s="120"/>
      <c r="D19" s="135"/>
      <c r="E19" s="221"/>
      <c r="F19" s="136"/>
    </row>
    <row r="20" spans="1:6" s="29" customFormat="1" ht="17.25" customHeight="1">
      <c r="A20" s="137" t="s">
        <v>16</v>
      </c>
      <c r="B20" s="138" t="s">
        <v>188</v>
      </c>
      <c r="C20" s="139"/>
      <c r="D20" s="140"/>
      <c r="E20" s="222"/>
      <c r="F20" s="136"/>
    </row>
    <row r="21" spans="1:6" s="29" customFormat="1" ht="17.25" customHeight="1">
      <c r="A21" s="150" t="s">
        <v>17</v>
      </c>
      <c r="B21" s="151" t="s">
        <v>19</v>
      </c>
      <c r="C21" s="139"/>
      <c r="D21" s="121"/>
      <c r="E21" s="222"/>
      <c r="F21" s="136"/>
    </row>
    <row r="22" spans="1:6" s="31" customFormat="1" ht="17.25" customHeight="1">
      <c r="A22" s="126" t="s">
        <v>88</v>
      </c>
      <c r="B22" s="127" t="s">
        <v>189</v>
      </c>
      <c r="C22" s="128"/>
      <c r="D22" s="143"/>
      <c r="E22" s="223"/>
      <c r="F22" s="130"/>
    </row>
    <row r="23" spans="1:6" s="31" customFormat="1" ht="17.25" customHeight="1">
      <c r="A23" s="126" t="s">
        <v>190</v>
      </c>
      <c r="B23" s="127" t="s">
        <v>20</v>
      </c>
      <c r="C23" s="128" t="s">
        <v>10</v>
      </c>
      <c r="D23" s="143">
        <f>49.75*0.6*0.2</f>
        <v>5.97</v>
      </c>
      <c r="E23" s="223"/>
      <c r="F23" s="130">
        <f t="shared" ref="F23:F36" si="0">D23*E23</f>
        <v>0</v>
      </c>
    </row>
    <row r="24" spans="1:6" s="31" customFormat="1" ht="17.25" customHeight="1">
      <c r="A24" s="126" t="s">
        <v>191</v>
      </c>
      <c r="B24" s="127" t="s">
        <v>351</v>
      </c>
      <c r="C24" s="128" t="s">
        <v>23</v>
      </c>
      <c r="D24" s="143">
        <f>D23*80</f>
        <v>477.59999999999997</v>
      </c>
      <c r="E24" s="223"/>
      <c r="F24" s="130">
        <f t="shared" si="0"/>
        <v>0</v>
      </c>
    </row>
    <row r="25" spans="1:6" s="31" customFormat="1" ht="17.25" customHeight="1">
      <c r="A25" s="126" t="s">
        <v>89</v>
      </c>
      <c r="B25" s="127" t="s">
        <v>192</v>
      </c>
      <c r="C25" s="128"/>
      <c r="D25" s="143"/>
      <c r="E25" s="223"/>
      <c r="F25" s="130"/>
    </row>
    <row r="26" spans="1:6" s="31" customFormat="1" ht="17.25" customHeight="1">
      <c r="A26" s="126" t="s">
        <v>193</v>
      </c>
      <c r="B26" s="127" t="s">
        <v>20</v>
      </c>
      <c r="C26" s="128" t="s">
        <v>10</v>
      </c>
      <c r="D26" s="143">
        <f>11*0.15*0.15*0.8</f>
        <v>0.19799999999999998</v>
      </c>
      <c r="E26" s="223"/>
      <c r="F26" s="130">
        <f t="shared" si="0"/>
        <v>0</v>
      </c>
    </row>
    <row r="27" spans="1:6" s="31" customFormat="1" ht="17.25" customHeight="1">
      <c r="A27" s="126" t="s">
        <v>191</v>
      </c>
      <c r="B27" s="127" t="s">
        <v>351</v>
      </c>
      <c r="C27" s="128" t="s">
        <v>23</v>
      </c>
      <c r="D27" s="143">
        <f>D26*80</f>
        <v>15.839999999999998</v>
      </c>
      <c r="E27" s="223"/>
      <c r="F27" s="130">
        <f t="shared" si="0"/>
        <v>0</v>
      </c>
    </row>
    <row r="28" spans="1:6" s="31" customFormat="1" ht="17.25" customHeight="1">
      <c r="A28" s="126" t="s">
        <v>194</v>
      </c>
      <c r="B28" s="127" t="s">
        <v>21</v>
      </c>
      <c r="C28" s="128" t="s">
        <v>4</v>
      </c>
      <c r="D28" s="143">
        <f>D26*12</f>
        <v>2.3759999999999999</v>
      </c>
      <c r="E28" s="223"/>
      <c r="F28" s="130">
        <f t="shared" si="0"/>
        <v>0</v>
      </c>
    </row>
    <row r="29" spans="1:6" s="31" customFormat="1" ht="17.25" customHeight="1">
      <c r="A29" s="126" t="s">
        <v>90</v>
      </c>
      <c r="B29" s="127" t="s">
        <v>195</v>
      </c>
      <c r="C29" s="128"/>
      <c r="D29" s="143"/>
      <c r="E29" s="223"/>
      <c r="F29" s="130"/>
    </row>
    <row r="30" spans="1:6" s="31" customFormat="1" ht="17.25" customHeight="1">
      <c r="A30" s="126" t="s">
        <v>196</v>
      </c>
      <c r="B30" s="127" t="s">
        <v>20</v>
      </c>
      <c r="C30" s="128" t="s">
        <v>10</v>
      </c>
      <c r="D30" s="143">
        <f>49.75*0.2*0.15</f>
        <v>1.4925000000000002</v>
      </c>
      <c r="E30" s="223"/>
      <c r="F30" s="130">
        <f t="shared" si="0"/>
        <v>0</v>
      </c>
    </row>
    <row r="31" spans="1:6" s="31" customFormat="1" ht="17.25" customHeight="1">
      <c r="A31" s="126" t="s">
        <v>197</v>
      </c>
      <c r="B31" s="127" t="s">
        <v>351</v>
      </c>
      <c r="C31" s="128" t="s">
        <v>23</v>
      </c>
      <c r="D31" s="143">
        <f>D30*80</f>
        <v>119.4</v>
      </c>
      <c r="E31" s="223"/>
      <c r="F31" s="130">
        <f t="shared" si="0"/>
        <v>0</v>
      </c>
    </row>
    <row r="32" spans="1:6" s="31" customFormat="1" ht="17.25" customHeight="1">
      <c r="A32" s="126" t="s">
        <v>198</v>
      </c>
      <c r="B32" s="127" t="s">
        <v>21</v>
      </c>
      <c r="C32" s="128" t="s">
        <v>4</v>
      </c>
      <c r="D32" s="143">
        <f>D30*12</f>
        <v>17.910000000000004</v>
      </c>
      <c r="E32" s="223"/>
      <c r="F32" s="130">
        <f t="shared" si="0"/>
        <v>0</v>
      </c>
    </row>
    <row r="33" spans="1:6" s="31" customFormat="1" ht="17.25" customHeight="1">
      <c r="A33" s="126" t="s">
        <v>91</v>
      </c>
      <c r="B33" s="127" t="s">
        <v>199</v>
      </c>
      <c r="C33" s="128" t="s">
        <v>4</v>
      </c>
      <c r="D33" s="143">
        <f>49.75*1.1</f>
        <v>54.725000000000001</v>
      </c>
      <c r="E33" s="223"/>
      <c r="F33" s="130">
        <f t="shared" si="0"/>
        <v>0</v>
      </c>
    </row>
    <row r="34" spans="1:6" s="31" customFormat="1" ht="17.25" customHeight="1">
      <c r="A34" s="126" t="s">
        <v>92</v>
      </c>
      <c r="B34" s="127" t="s">
        <v>200</v>
      </c>
      <c r="C34" s="128"/>
      <c r="D34" s="143"/>
      <c r="E34" s="223"/>
      <c r="F34" s="130"/>
    </row>
    <row r="35" spans="1:6" s="29" customFormat="1" ht="17.25" customHeight="1">
      <c r="A35" s="152" t="s">
        <v>201</v>
      </c>
      <c r="B35" s="153" t="s">
        <v>20</v>
      </c>
      <c r="C35" s="154" t="s">
        <v>10</v>
      </c>
      <c r="D35" s="121">
        <f>12*7.45*0.1</f>
        <v>8.9400000000000013</v>
      </c>
      <c r="E35" s="223"/>
      <c r="F35" s="136">
        <f t="shared" ref="F35" si="1">D35*E35</f>
        <v>0</v>
      </c>
    </row>
    <row r="36" spans="1:6" s="29" customFormat="1" ht="17.25" customHeight="1">
      <c r="A36" s="152" t="s">
        <v>201</v>
      </c>
      <c r="B36" s="127" t="s">
        <v>364</v>
      </c>
      <c r="C36" s="154" t="s">
        <v>10</v>
      </c>
      <c r="D36" s="121">
        <f>D35*60</f>
        <v>536.40000000000009</v>
      </c>
      <c r="E36" s="223"/>
      <c r="F36" s="136">
        <f t="shared" si="0"/>
        <v>0</v>
      </c>
    </row>
    <row r="37" spans="1:6" s="29" customFormat="1" ht="17.25" customHeight="1">
      <c r="A37" s="152"/>
      <c r="B37" s="154"/>
      <c r="C37" s="139"/>
      <c r="D37" s="121"/>
      <c r="E37" s="222"/>
      <c r="F37" s="136"/>
    </row>
    <row r="38" spans="1:6" s="31" customFormat="1" ht="17.25" customHeight="1">
      <c r="A38" s="155" t="s">
        <v>24</v>
      </c>
      <c r="B38" s="156" t="s">
        <v>25</v>
      </c>
      <c r="C38" s="142"/>
      <c r="D38" s="143"/>
      <c r="E38" s="223"/>
      <c r="F38" s="130"/>
    </row>
    <row r="39" spans="1:6" s="31" customFormat="1" ht="17.25" customHeight="1">
      <c r="A39" s="126" t="s">
        <v>26</v>
      </c>
      <c r="B39" s="157" t="s">
        <v>202</v>
      </c>
      <c r="C39" s="128" t="s">
        <v>4</v>
      </c>
      <c r="D39" s="143">
        <f>(3.7*3+7.75*2)*2.57+(7.45+7.4*2)*0.1</f>
        <v>70.586999999999989</v>
      </c>
      <c r="E39" s="223"/>
      <c r="F39" s="130">
        <f>D39*E39</f>
        <v>0</v>
      </c>
    </row>
    <row r="40" spans="1:6" s="31" customFormat="1" ht="17.25" customHeight="1">
      <c r="A40" s="126" t="s">
        <v>150</v>
      </c>
      <c r="B40" s="127" t="s">
        <v>203</v>
      </c>
      <c r="C40" s="128"/>
      <c r="D40" s="143"/>
      <c r="E40" s="223"/>
      <c r="F40" s="130"/>
    </row>
    <row r="41" spans="1:6" s="31" customFormat="1" ht="17.25" customHeight="1">
      <c r="A41" s="126" t="s">
        <v>204</v>
      </c>
      <c r="B41" s="127" t="s">
        <v>20</v>
      </c>
      <c r="C41" s="128" t="s">
        <v>10</v>
      </c>
      <c r="D41" s="143">
        <f>11*0.15*0.15*3.57</f>
        <v>0.88357499999999989</v>
      </c>
      <c r="E41" s="223"/>
      <c r="F41" s="130">
        <f t="shared" ref="F41:F51" si="2">D41*E41</f>
        <v>0</v>
      </c>
    </row>
    <row r="42" spans="1:6" s="31" customFormat="1" ht="17.25" customHeight="1">
      <c r="A42" s="126" t="s">
        <v>205</v>
      </c>
      <c r="B42" s="127" t="s">
        <v>22</v>
      </c>
      <c r="C42" s="128" t="s">
        <v>23</v>
      </c>
      <c r="D42" s="143">
        <f>D41*80</f>
        <v>70.685999999999993</v>
      </c>
      <c r="E42" s="223"/>
      <c r="F42" s="130">
        <f t="shared" si="2"/>
        <v>0</v>
      </c>
    </row>
    <row r="43" spans="1:6" s="31" customFormat="1" ht="17.25" customHeight="1">
      <c r="A43" s="126" t="s">
        <v>206</v>
      </c>
      <c r="B43" s="127" t="s">
        <v>207</v>
      </c>
      <c r="C43" s="128" t="s">
        <v>4</v>
      </c>
      <c r="D43" s="143">
        <v>29.41</v>
      </c>
      <c r="E43" s="223"/>
      <c r="F43" s="130">
        <f t="shared" si="2"/>
        <v>0</v>
      </c>
    </row>
    <row r="44" spans="1:6" s="29" customFormat="1" ht="17.25" customHeight="1">
      <c r="A44" s="152" t="s">
        <v>27</v>
      </c>
      <c r="B44" s="153" t="s">
        <v>208</v>
      </c>
      <c r="C44" s="154"/>
      <c r="D44" s="121"/>
      <c r="E44" s="222"/>
      <c r="F44" s="136"/>
    </row>
    <row r="45" spans="1:6" s="29" customFormat="1" ht="17.25" customHeight="1">
      <c r="A45" s="152" t="s">
        <v>209</v>
      </c>
      <c r="B45" s="153" t="s">
        <v>20</v>
      </c>
      <c r="C45" s="154" t="s">
        <v>10</v>
      </c>
      <c r="D45" s="121">
        <f>D30</f>
        <v>1.4925000000000002</v>
      </c>
      <c r="E45" s="223"/>
      <c r="F45" s="136">
        <f t="shared" si="2"/>
        <v>0</v>
      </c>
    </row>
    <row r="46" spans="1:6" s="29" customFormat="1" ht="17.25" customHeight="1">
      <c r="A46" s="152" t="s">
        <v>210</v>
      </c>
      <c r="B46" s="153" t="s">
        <v>22</v>
      </c>
      <c r="C46" s="154" t="s">
        <v>23</v>
      </c>
      <c r="D46" s="121">
        <f>D45*80</f>
        <v>119.4</v>
      </c>
      <c r="E46" s="223"/>
      <c r="F46" s="136">
        <f t="shared" si="2"/>
        <v>0</v>
      </c>
    </row>
    <row r="47" spans="1:6" s="29" customFormat="1" ht="17.25" customHeight="1">
      <c r="A47" s="152" t="s">
        <v>211</v>
      </c>
      <c r="B47" s="127" t="s">
        <v>207</v>
      </c>
      <c r="C47" s="154" t="s">
        <v>4</v>
      </c>
      <c r="D47" s="121">
        <f>D45*12</f>
        <v>17.910000000000004</v>
      </c>
      <c r="E47" s="223"/>
      <c r="F47" s="136">
        <f t="shared" si="2"/>
        <v>0</v>
      </c>
    </row>
    <row r="48" spans="1:6" s="29" customFormat="1" ht="17.25" customHeight="1">
      <c r="A48" s="152" t="s">
        <v>29</v>
      </c>
      <c r="B48" s="153" t="s">
        <v>212</v>
      </c>
      <c r="C48" s="154"/>
      <c r="D48" s="121"/>
      <c r="E48" s="222"/>
      <c r="F48" s="136"/>
    </row>
    <row r="49" spans="1:6" s="29" customFormat="1" ht="17.25" customHeight="1">
      <c r="A49" s="152" t="s">
        <v>213</v>
      </c>
      <c r="B49" s="153" t="s">
        <v>20</v>
      </c>
      <c r="C49" s="154" t="s">
        <v>10</v>
      </c>
      <c r="D49" s="121">
        <f>1.5*0.5*0.08</f>
        <v>0.06</v>
      </c>
      <c r="E49" s="223"/>
      <c r="F49" s="136">
        <f t="shared" si="2"/>
        <v>0</v>
      </c>
    </row>
    <row r="50" spans="1:6" s="29" customFormat="1" ht="17.25" customHeight="1">
      <c r="A50" s="152" t="s">
        <v>214</v>
      </c>
      <c r="B50" s="153" t="s">
        <v>22</v>
      </c>
      <c r="C50" s="154" t="s">
        <v>23</v>
      </c>
      <c r="D50" s="121">
        <f>D49*80</f>
        <v>4.8</v>
      </c>
      <c r="E50" s="223"/>
      <c r="F50" s="136">
        <f t="shared" si="2"/>
        <v>0</v>
      </c>
    </row>
    <row r="51" spans="1:6" s="29" customFormat="1" ht="17.25" customHeight="1">
      <c r="A51" s="152" t="s">
        <v>215</v>
      </c>
      <c r="B51" s="127" t="s">
        <v>207</v>
      </c>
      <c r="C51" s="154" t="s">
        <v>4</v>
      </c>
      <c r="D51" s="121">
        <f>D49*12</f>
        <v>0.72</v>
      </c>
      <c r="E51" s="223"/>
      <c r="F51" s="136">
        <f t="shared" si="2"/>
        <v>0</v>
      </c>
    </row>
    <row r="52" spans="1:6" s="29" customFormat="1" ht="17.25" customHeight="1">
      <c r="A52" s="152"/>
      <c r="B52" s="154"/>
      <c r="C52" s="154"/>
      <c r="D52" s="121"/>
      <c r="E52" s="222"/>
      <c r="F52" s="136"/>
    </row>
    <row r="53" spans="1:6" s="29" customFormat="1" ht="17.25" customHeight="1">
      <c r="A53" s="152" t="s">
        <v>216</v>
      </c>
      <c r="B53" s="158" t="s">
        <v>33</v>
      </c>
      <c r="C53" s="154"/>
      <c r="D53" s="121"/>
      <c r="E53" s="222"/>
      <c r="F53" s="136"/>
    </row>
    <row r="54" spans="1:6" s="29" customFormat="1" ht="17.25" customHeight="1">
      <c r="A54" s="152" t="s">
        <v>217</v>
      </c>
      <c r="B54" s="153" t="s">
        <v>218</v>
      </c>
      <c r="C54" s="154" t="s">
        <v>4</v>
      </c>
      <c r="D54" s="121">
        <f>D39*2</f>
        <v>141.17399999999998</v>
      </c>
      <c r="E54" s="222"/>
      <c r="F54" s="136">
        <f>D54*E54</f>
        <v>0</v>
      </c>
    </row>
    <row r="55" spans="1:6" s="29" customFormat="1" ht="17.25" customHeight="1">
      <c r="A55" s="152" t="s">
        <v>219</v>
      </c>
      <c r="B55" s="153" t="s">
        <v>220</v>
      </c>
      <c r="C55" s="154" t="s">
        <v>4</v>
      </c>
      <c r="D55" s="121">
        <v>0</v>
      </c>
      <c r="E55" s="222"/>
      <c r="F55" s="136">
        <f t="shared" ref="F55:F63" si="3">D55*E55</f>
        <v>0</v>
      </c>
    </row>
    <row r="56" spans="1:6" s="29" customFormat="1" ht="17.25" customHeight="1">
      <c r="A56" s="152" t="s">
        <v>221</v>
      </c>
      <c r="B56" s="153" t="s">
        <v>222</v>
      </c>
      <c r="C56" s="154" t="s">
        <v>283</v>
      </c>
      <c r="D56" s="121">
        <v>0</v>
      </c>
      <c r="E56" s="222"/>
      <c r="F56" s="136">
        <f t="shared" si="3"/>
        <v>0</v>
      </c>
    </row>
    <row r="57" spans="1:6" s="29" customFormat="1" ht="17.25" customHeight="1">
      <c r="A57" s="150" t="s">
        <v>6</v>
      </c>
      <c r="B57" s="159" t="s">
        <v>34</v>
      </c>
      <c r="C57" s="154"/>
      <c r="D57" s="121"/>
      <c r="E57" s="222"/>
      <c r="F57" s="136"/>
    </row>
    <row r="58" spans="1:6" s="29" customFormat="1" ht="17.25" customHeight="1">
      <c r="A58" s="152" t="s">
        <v>30</v>
      </c>
      <c r="B58" s="159" t="s">
        <v>35</v>
      </c>
      <c r="C58" s="154"/>
      <c r="D58" s="121"/>
      <c r="E58" s="222"/>
      <c r="F58" s="136"/>
    </row>
    <row r="59" spans="1:6" s="29" customFormat="1" ht="17.25" customHeight="1">
      <c r="A59" s="152" t="s">
        <v>223</v>
      </c>
      <c r="B59" s="153" t="s">
        <v>349</v>
      </c>
      <c r="C59" s="154" t="s">
        <v>9</v>
      </c>
      <c r="D59" s="121">
        <v>3</v>
      </c>
      <c r="E59" s="222"/>
      <c r="F59" s="136">
        <f t="shared" si="3"/>
        <v>0</v>
      </c>
    </row>
    <row r="60" spans="1:6" s="29" customFormat="1" ht="17.25" customHeight="1">
      <c r="A60" s="152" t="s">
        <v>31</v>
      </c>
      <c r="B60" s="159" t="s">
        <v>36</v>
      </c>
      <c r="C60" s="154"/>
      <c r="D60" s="121"/>
      <c r="E60" s="222"/>
      <c r="F60" s="136"/>
    </row>
    <row r="61" spans="1:6" s="29" customFormat="1" ht="17.25" customHeight="1">
      <c r="A61" s="152" t="s">
        <v>32</v>
      </c>
      <c r="B61" s="153" t="s">
        <v>64</v>
      </c>
      <c r="C61" s="154" t="s">
        <v>9</v>
      </c>
      <c r="D61" s="121">
        <v>1</v>
      </c>
      <c r="E61" s="222"/>
      <c r="F61" s="136">
        <f t="shared" si="3"/>
        <v>0</v>
      </c>
    </row>
    <row r="62" spans="1:6" s="29" customFormat="1" ht="17.25" customHeight="1">
      <c r="A62" s="152" t="s">
        <v>108</v>
      </c>
      <c r="B62" s="159" t="s">
        <v>224</v>
      </c>
      <c r="C62" s="154"/>
      <c r="D62" s="121"/>
      <c r="E62" s="222"/>
      <c r="F62" s="136"/>
    </row>
    <row r="63" spans="1:6" s="29" customFormat="1" ht="17.25" customHeight="1">
      <c r="A63" s="152" t="s">
        <v>109</v>
      </c>
      <c r="B63" s="160" t="s">
        <v>225</v>
      </c>
      <c r="C63" s="154" t="s">
        <v>9</v>
      </c>
      <c r="D63" s="121">
        <v>1</v>
      </c>
      <c r="E63" s="222"/>
      <c r="F63" s="136">
        <f t="shared" si="3"/>
        <v>0</v>
      </c>
    </row>
    <row r="64" spans="1:6" s="29" customFormat="1" ht="17.25" hidden="1" customHeight="1">
      <c r="A64" s="152" t="s">
        <v>226</v>
      </c>
      <c r="B64" s="161" t="s">
        <v>227</v>
      </c>
      <c r="C64" s="154"/>
      <c r="D64" s="121"/>
      <c r="E64" s="222"/>
      <c r="F64" s="136"/>
    </row>
    <row r="65" spans="1:6" s="29" customFormat="1" ht="17.25" hidden="1" customHeight="1">
      <c r="A65" s="152" t="s">
        <v>228</v>
      </c>
      <c r="B65" s="153" t="s">
        <v>229</v>
      </c>
      <c r="C65" s="154" t="s">
        <v>10</v>
      </c>
      <c r="D65" s="135">
        <v>0</v>
      </c>
      <c r="E65" s="225"/>
      <c r="F65" s="162">
        <v>0</v>
      </c>
    </row>
    <row r="66" spans="1:6" s="29" customFormat="1" ht="17.25" hidden="1" customHeight="1">
      <c r="A66" s="152" t="s">
        <v>230</v>
      </c>
      <c r="B66" s="153" t="s">
        <v>231</v>
      </c>
      <c r="C66" s="154" t="s">
        <v>10</v>
      </c>
      <c r="D66" s="135">
        <v>0</v>
      </c>
      <c r="E66" s="225"/>
      <c r="F66" s="162">
        <v>0</v>
      </c>
    </row>
    <row r="67" spans="1:6" s="29" customFormat="1" ht="17.25" hidden="1" customHeight="1">
      <c r="A67" s="152" t="s">
        <v>232</v>
      </c>
      <c r="B67" s="153" t="s">
        <v>233</v>
      </c>
      <c r="C67" s="154" t="s">
        <v>10</v>
      </c>
      <c r="D67" s="135">
        <v>0</v>
      </c>
      <c r="E67" s="225"/>
      <c r="F67" s="162">
        <v>0</v>
      </c>
    </row>
    <row r="68" spans="1:6" s="29" customFormat="1" ht="17.25" hidden="1" customHeight="1">
      <c r="A68" s="152" t="s">
        <v>234</v>
      </c>
      <c r="B68" s="153" t="s">
        <v>235</v>
      </c>
      <c r="C68" s="154" t="s">
        <v>4</v>
      </c>
      <c r="D68" s="135">
        <v>0</v>
      </c>
      <c r="E68" s="225"/>
      <c r="F68" s="162">
        <v>0</v>
      </c>
    </row>
    <row r="69" spans="1:6" s="29" customFormat="1" ht="17.25" hidden="1" customHeight="1">
      <c r="A69" s="152" t="s">
        <v>236</v>
      </c>
      <c r="B69" s="153" t="s">
        <v>237</v>
      </c>
      <c r="C69" s="154"/>
      <c r="D69" s="121"/>
      <c r="E69" s="222"/>
      <c r="F69" s="136"/>
    </row>
    <row r="70" spans="1:6" s="29" customFormat="1" ht="17.25" hidden="1" customHeight="1">
      <c r="A70" s="152" t="s">
        <v>238</v>
      </c>
      <c r="B70" s="153" t="s">
        <v>20</v>
      </c>
      <c r="C70" s="154" t="s">
        <v>10</v>
      </c>
      <c r="D70" s="135">
        <v>0</v>
      </c>
      <c r="E70" s="225"/>
      <c r="F70" s="162">
        <v>0</v>
      </c>
    </row>
    <row r="71" spans="1:6" s="29" customFormat="1" ht="17.25" hidden="1" customHeight="1">
      <c r="A71" s="152" t="s">
        <v>239</v>
      </c>
      <c r="B71" s="153" t="s">
        <v>240</v>
      </c>
      <c r="C71" s="154" t="s">
        <v>23</v>
      </c>
      <c r="D71" s="135">
        <v>0</v>
      </c>
      <c r="E71" s="225"/>
      <c r="F71" s="162">
        <v>0</v>
      </c>
    </row>
    <row r="72" spans="1:6" s="29" customFormat="1" ht="17.25" hidden="1" customHeight="1">
      <c r="A72" s="152" t="s">
        <v>241</v>
      </c>
      <c r="B72" s="153" t="s">
        <v>100</v>
      </c>
      <c r="C72" s="154" t="s">
        <v>4</v>
      </c>
      <c r="D72" s="135">
        <v>0</v>
      </c>
      <c r="E72" s="225"/>
      <c r="F72" s="162">
        <v>0</v>
      </c>
    </row>
    <row r="73" spans="1:6" s="29" customFormat="1" ht="17.25" hidden="1" customHeight="1">
      <c r="A73" s="152" t="s">
        <v>242</v>
      </c>
      <c r="B73" s="153" t="s">
        <v>243</v>
      </c>
      <c r="C73" s="154" t="s">
        <v>4</v>
      </c>
      <c r="D73" s="135">
        <v>0</v>
      </c>
      <c r="E73" s="225"/>
      <c r="F73" s="162">
        <v>0</v>
      </c>
    </row>
    <row r="74" spans="1:6" s="29" customFormat="1" ht="17.25" customHeight="1">
      <c r="A74" s="152"/>
      <c r="B74" s="145" t="s">
        <v>37</v>
      </c>
      <c r="C74" s="146"/>
      <c r="D74" s="147"/>
      <c r="E74" s="224"/>
      <c r="F74" s="148">
        <f>SUM(F21:F73)</f>
        <v>0</v>
      </c>
    </row>
    <row r="75" spans="1:6" s="29" customFormat="1" ht="15.6">
      <c r="A75" s="152"/>
      <c r="B75" s="163"/>
      <c r="C75" s="120"/>
      <c r="D75" s="135"/>
      <c r="E75" s="221"/>
      <c r="F75" s="136"/>
    </row>
    <row r="76" spans="1:6" s="29" customFormat="1" ht="15.6">
      <c r="A76" s="152"/>
      <c r="B76" s="131" t="s">
        <v>38</v>
      </c>
      <c r="C76" s="132"/>
      <c r="D76" s="133"/>
      <c r="E76" s="220"/>
      <c r="F76" s="134">
        <f>F74+F18</f>
        <v>0</v>
      </c>
    </row>
    <row r="77" spans="1:6" s="29" customFormat="1" ht="15.6">
      <c r="A77" s="152"/>
      <c r="B77" s="164"/>
      <c r="C77" s="120"/>
      <c r="D77" s="135"/>
      <c r="E77" s="221"/>
      <c r="F77" s="136"/>
    </row>
    <row r="78" spans="1:6" s="29" customFormat="1" ht="15.6">
      <c r="A78" s="122" t="s">
        <v>18</v>
      </c>
      <c r="B78" s="123" t="s">
        <v>39</v>
      </c>
      <c r="C78" s="124"/>
      <c r="D78" s="125"/>
      <c r="E78" s="218"/>
      <c r="F78" s="124"/>
    </row>
    <row r="79" spans="1:6" s="29" customFormat="1" ht="15.6">
      <c r="A79" s="152" t="s">
        <v>116</v>
      </c>
      <c r="B79" s="153" t="s">
        <v>117</v>
      </c>
      <c r="C79" s="154"/>
      <c r="D79" s="165"/>
      <c r="E79" s="226"/>
      <c r="F79" s="136"/>
    </row>
    <row r="80" spans="1:6" s="29" customFormat="1" ht="15.6">
      <c r="A80" s="152" t="s">
        <v>118</v>
      </c>
      <c r="B80" s="153" t="s">
        <v>244</v>
      </c>
      <c r="C80" s="154" t="s">
        <v>10</v>
      </c>
      <c r="D80" s="121">
        <f>(13*8)/100</f>
        <v>1.04</v>
      </c>
      <c r="E80" s="226"/>
      <c r="F80" s="136">
        <f t="shared" ref="F80" si="4">D80*E80</f>
        <v>0</v>
      </c>
    </row>
    <row r="81" spans="1:6" s="29" customFormat="1" ht="15.6">
      <c r="A81" s="118"/>
      <c r="B81" s="131" t="s">
        <v>40</v>
      </c>
      <c r="C81" s="132"/>
      <c r="D81" s="133"/>
      <c r="E81" s="220"/>
      <c r="F81" s="134">
        <f>SUM(F80:F80)</f>
        <v>0</v>
      </c>
    </row>
    <row r="82" spans="1:6" s="29" customFormat="1" ht="15.6">
      <c r="A82" s="118"/>
      <c r="B82" s="164"/>
      <c r="C82" s="120"/>
      <c r="D82" s="135"/>
      <c r="E82" s="221"/>
      <c r="F82" s="136"/>
    </row>
    <row r="83" spans="1:6" s="29" customFormat="1" ht="15.6">
      <c r="A83" s="122" t="s">
        <v>41</v>
      </c>
      <c r="B83" s="123" t="s">
        <v>42</v>
      </c>
      <c r="C83" s="124"/>
      <c r="D83" s="125"/>
      <c r="E83" s="218"/>
      <c r="F83" s="124"/>
    </row>
    <row r="84" spans="1:6" s="29" customFormat="1" ht="15.6">
      <c r="A84" s="152" t="s">
        <v>123</v>
      </c>
      <c r="B84" s="153" t="s">
        <v>43</v>
      </c>
      <c r="C84" s="120"/>
      <c r="D84" s="135"/>
      <c r="E84" s="221"/>
      <c r="F84" s="136"/>
    </row>
    <row r="85" spans="1:6" s="29" customFormat="1" ht="15.6">
      <c r="A85" s="152" t="s">
        <v>124</v>
      </c>
      <c r="B85" s="158" t="s">
        <v>44</v>
      </c>
      <c r="C85" s="120"/>
      <c r="D85" s="135"/>
      <c r="E85" s="221"/>
      <c r="F85" s="136"/>
    </row>
    <row r="86" spans="1:6" s="29" customFormat="1" ht="15.6">
      <c r="A86" s="152" t="s">
        <v>145</v>
      </c>
      <c r="B86" s="153" t="s">
        <v>696</v>
      </c>
      <c r="C86" s="154" t="s">
        <v>4</v>
      </c>
      <c r="D86" s="121">
        <f>2*4.5*13</f>
        <v>117</v>
      </c>
      <c r="E86" s="226"/>
      <c r="F86" s="136">
        <f>D86*E86</f>
        <v>0</v>
      </c>
    </row>
    <row r="87" spans="1:6" s="29" customFormat="1" ht="15.6">
      <c r="A87" s="152" t="s">
        <v>125</v>
      </c>
      <c r="B87" s="158" t="s">
        <v>126</v>
      </c>
      <c r="C87" s="154"/>
      <c r="D87" s="121"/>
      <c r="E87" s="226"/>
      <c r="F87" s="136"/>
    </row>
    <row r="88" spans="1:6" s="29" customFormat="1" ht="15.6">
      <c r="A88" s="152" t="s">
        <v>127</v>
      </c>
      <c r="B88" s="153" t="s">
        <v>245</v>
      </c>
      <c r="C88" s="154" t="s">
        <v>7</v>
      </c>
      <c r="D88" s="121">
        <v>13</v>
      </c>
      <c r="E88" s="226"/>
      <c r="F88" s="136">
        <f>D88*E88</f>
        <v>0</v>
      </c>
    </row>
    <row r="89" spans="1:6" s="29" customFormat="1" ht="15.6">
      <c r="A89" s="152" t="s">
        <v>246</v>
      </c>
      <c r="B89" s="158" t="s">
        <v>45</v>
      </c>
      <c r="C89" s="166"/>
      <c r="D89" s="167"/>
      <c r="E89" s="226"/>
      <c r="F89" s="136"/>
    </row>
    <row r="90" spans="1:6" s="29" customFormat="1" ht="15.6">
      <c r="A90" s="152" t="s">
        <v>247</v>
      </c>
      <c r="B90" s="153" t="s">
        <v>248</v>
      </c>
      <c r="C90" s="154" t="s">
        <v>4</v>
      </c>
      <c r="D90" s="121">
        <f>(4*4.5+13*2)*0.3</f>
        <v>13.2</v>
      </c>
      <c r="E90" s="226"/>
      <c r="F90" s="136">
        <f>D90*E90</f>
        <v>0</v>
      </c>
    </row>
    <row r="91" spans="1:6" s="29" customFormat="1" ht="17.25" customHeight="1">
      <c r="A91" s="118"/>
      <c r="B91" s="131" t="s">
        <v>46</v>
      </c>
      <c r="C91" s="132"/>
      <c r="D91" s="133"/>
      <c r="E91" s="220"/>
      <c r="F91" s="134">
        <f>SUM(F86:F90)</f>
        <v>0</v>
      </c>
    </row>
    <row r="92" spans="1:6" s="31" customFormat="1" ht="17.25" customHeight="1">
      <c r="A92" s="168"/>
      <c r="B92" s="169"/>
      <c r="C92" s="170"/>
      <c r="D92" s="171"/>
      <c r="E92" s="227"/>
      <c r="F92" s="130"/>
    </row>
    <row r="93" spans="1:6" s="29" customFormat="1" ht="15.6">
      <c r="A93" s="122" t="s">
        <v>47</v>
      </c>
      <c r="B93" s="123" t="s">
        <v>48</v>
      </c>
      <c r="C93" s="124"/>
      <c r="D93" s="125"/>
      <c r="E93" s="218"/>
      <c r="F93" s="124"/>
    </row>
    <row r="94" spans="1:6" s="29" customFormat="1" ht="15.6">
      <c r="A94" s="172" t="s">
        <v>49</v>
      </c>
      <c r="B94" s="158" t="s">
        <v>51</v>
      </c>
      <c r="C94" s="154"/>
      <c r="D94" s="165"/>
      <c r="E94" s="226"/>
      <c r="F94" s="136"/>
    </row>
    <row r="95" spans="1:6" s="29" customFormat="1" ht="15.6">
      <c r="A95" s="172" t="s">
        <v>50</v>
      </c>
      <c r="B95" s="153" t="s">
        <v>249</v>
      </c>
      <c r="C95" s="154" t="s">
        <v>182</v>
      </c>
      <c r="D95" s="121">
        <v>1</v>
      </c>
      <c r="E95" s="226"/>
      <c r="F95" s="136">
        <f>D95*E95</f>
        <v>0</v>
      </c>
    </row>
    <row r="96" spans="1:6" s="29" customFormat="1" ht="15.6">
      <c r="A96" s="118"/>
      <c r="B96" s="131" t="s">
        <v>52</v>
      </c>
      <c r="C96" s="132"/>
      <c r="D96" s="133"/>
      <c r="E96" s="220"/>
      <c r="F96" s="134">
        <f>SUM(F95)</f>
        <v>0</v>
      </c>
    </row>
    <row r="97" spans="1:6" s="29" customFormat="1" ht="15.6">
      <c r="A97" s="152"/>
      <c r="B97" s="139"/>
      <c r="C97" s="139"/>
      <c r="D97" s="173"/>
      <c r="E97" s="228"/>
      <c r="F97" s="136"/>
    </row>
    <row r="98" spans="1:6" s="29" customFormat="1" ht="15.6">
      <c r="A98" s="122" t="s">
        <v>53</v>
      </c>
      <c r="B98" s="123" t="s">
        <v>250</v>
      </c>
      <c r="C98" s="124"/>
      <c r="D98" s="125"/>
      <c r="E98" s="218"/>
      <c r="F98" s="124"/>
    </row>
    <row r="99" spans="1:6" s="29" customFormat="1" ht="19.95" customHeight="1">
      <c r="A99" s="172" t="s">
        <v>133</v>
      </c>
      <c r="B99" s="174" t="s">
        <v>251</v>
      </c>
      <c r="C99" s="154" t="s">
        <v>4</v>
      </c>
      <c r="D99" s="121">
        <f>8.45*3.9</f>
        <v>32.954999999999998</v>
      </c>
      <c r="E99" s="226"/>
      <c r="F99" s="175">
        <f>D99*E99</f>
        <v>0</v>
      </c>
    </row>
    <row r="100" spans="1:6" s="29" customFormat="1" ht="15.6">
      <c r="A100" s="172" t="s">
        <v>132</v>
      </c>
      <c r="B100" s="176" t="s">
        <v>252</v>
      </c>
      <c r="C100" s="154" t="s">
        <v>7</v>
      </c>
      <c r="D100" s="121">
        <f>49.75*4</f>
        <v>199</v>
      </c>
      <c r="E100" s="226"/>
      <c r="F100" s="136">
        <f>D100*E100</f>
        <v>0</v>
      </c>
    </row>
    <row r="101" spans="1:6" s="29" customFormat="1" ht="15.6">
      <c r="A101" s="172"/>
      <c r="B101" s="176"/>
      <c r="C101" s="120"/>
      <c r="D101" s="135"/>
      <c r="E101" s="221"/>
      <c r="F101" s="136"/>
    </row>
    <row r="102" spans="1:6" s="29" customFormat="1" ht="15.6">
      <c r="A102" s="152"/>
      <c r="B102" s="131" t="s">
        <v>253</v>
      </c>
      <c r="C102" s="177"/>
      <c r="D102" s="133"/>
      <c r="E102" s="220"/>
      <c r="F102" s="134">
        <f>SUM(F99:F101)</f>
        <v>0</v>
      </c>
    </row>
    <row r="103" spans="1:6" s="29" customFormat="1" ht="15.6">
      <c r="A103" s="152"/>
      <c r="B103" s="178"/>
      <c r="C103" s="120"/>
      <c r="D103" s="135"/>
      <c r="E103" s="221"/>
      <c r="F103" s="136"/>
    </row>
    <row r="104" spans="1:6" s="29" customFormat="1" ht="15.6">
      <c r="A104" s="122" t="s">
        <v>72</v>
      </c>
      <c r="B104" s="123" t="s">
        <v>55</v>
      </c>
      <c r="C104" s="124"/>
      <c r="D104" s="125"/>
      <c r="E104" s="218"/>
      <c r="F104" s="124"/>
    </row>
    <row r="105" spans="1:6" s="29" customFormat="1" ht="15.6">
      <c r="A105" s="152" t="s">
        <v>132</v>
      </c>
      <c r="B105" s="158" t="s">
        <v>254</v>
      </c>
      <c r="C105" s="120"/>
      <c r="D105" s="135"/>
      <c r="E105" s="221"/>
      <c r="F105" s="136"/>
    </row>
    <row r="106" spans="1:6" s="29" customFormat="1" ht="15.6">
      <c r="A106" s="152" t="s">
        <v>163</v>
      </c>
      <c r="B106" s="153" t="s">
        <v>255</v>
      </c>
      <c r="C106" s="120"/>
      <c r="D106" s="135"/>
      <c r="E106" s="221"/>
      <c r="F106" s="136"/>
    </row>
    <row r="107" spans="1:6" s="29" customFormat="1" ht="15.6">
      <c r="A107" s="152" t="s">
        <v>256</v>
      </c>
      <c r="B107" s="153" t="s">
        <v>257</v>
      </c>
      <c r="C107" s="154" t="s">
        <v>9</v>
      </c>
      <c r="D107" s="121">
        <v>2</v>
      </c>
      <c r="E107" s="226"/>
      <c r="F107" s="136">
        <f>D107*E107</f>
        <v>0</v>
      </c>
    </row>
    <row r="108" spans="1:6" s="29" customFormat="1" ht="15.6">
      <c r="A108" s="152" t="s">
        <v>258</v>
      </c>
      <c r="B108" s="153" t="s">
        <v>259</v>
      </c>
      <c r="C108" s="154" t="s">
        <v>9</v>
      </c>
      <c r="D108" s="121">
        <v>2</v>
      </c>
      <c r="E108" s="226"/>
      <c r="F108" s="136">
        <f t="shared" ref="F108:F110" si="5">D108*E108</f>
        <v>0</v>
      </c>
    </row>
    <row r="109" spans="1:6" s="29" customFormat="1" ht="15.6">
      <c r="A109" s="152" t="s">
        <v>133</v>
      </c>
      <c r="B109" s="158" t="s">
        <v>260</v>
      </c>
      <c r="C109" s="154"/>
      <c r="D109" s="121"/>
      <c r="E109" s="226"/>
      <c r="F109" s="136"/>
    </row>
    <row r="110" spans="1:6" s="29" customFormat="1" ht="15.6">
      <c r="A110" s="152" t="s">
        <v>164</v>
      </c>
      <c r="B110" s="153" t="s">
        <v>261</v>
      </c>
      <c r="C110" s="154" t="s">
        <v>9</v>
      </c>
      <c r="D110" s="121">
        <v>2</v>
      </c>
      <c r="E110" s="226"/>
      <c r="F110" s="136">
        <f t="shared" si="5"/>
        <v>0</v>
      </c>
    </row>
    <row r="111" spans="1:6" s="29" customFormat="1" ht="15">
      <c r="A111" s="179"/>
      <c r="B111" s="131" t="s">
        <v>56</v>
      </c>
      <c r="C111" s="180"/>
      <c r="D111" s="133"/>
      <c r="E111" s="220"/>
      <c r="F111" s="134">
        <f>SUM(F107:F110)</f>
        <v>0</v>
      </c>
    </row>
    <row r="112" spans="1:6" s="31" customFormat="1" ht="15">
      <c r="A112" s="181"/>
      <c r="B112" s="169"/>
      <c r="C112" s="182"/>
      <c r="D112" s="171"/>
      <c r="E112" s="227"/>
      <c r="F112" s="130"/>
    </row>
    <row r="113" spans="1:8" s="2" customFormat="1" ht="15.6">
      <c r="A113" s="122" t="s">
        <v>54</v>
      </c>
      <c r="B113" s="123" t="s">
        <v>65</v>
      </c>
      <c r="C113" s="124"/>
      <c r="D113" s="125"/>
      <c r="E113" s="218"/>
      <c r="F113" s="124"/>
    </row>
    <row r="114" spans="1:8" s="2" customFormat="1" ht="15.6">
      <c r="A114" s="152" t="s">
        <v>262</v>
      </c>
      <c r="B114" s="183" t="s">
        <v>66</v>
      </c>
      <c r="C114" s="154"/>
      <c r="D114" s="121"/>
      <c r="E114" s="221"/>
      <c r="F114" s="136"/>
    </row>
    <row r="115" spans="1:8" s="2" customFormat="1" ht="18" customHeight="1">
      <c r="A115" s="152" t="s">
        <v>263</v>
      </c>
      <c r="B115" s="184" t="s">
        <v>264</v>
      </c>
      <c r="C115" s="154" t="s">
        <v>4</v>
      </c>
      <c r="D115" s="121">
        <v>5</v>
      </c>
      <c r="E115" s="221"/>
      <c r="F115" s="136">
        <f t="shared" ref="F115:F116" si="6">D115*E115</f>
        <v>0</v>
      </c>
    </row>
    <row r="116" spans="1:8" s="2" customFormat="1" ht="18" customHeight="1">
      <c r="A116" s="152" t="s">
        <v>265</v>
      </c>
      <c r="B116" s="184" t="s">
        <v>266</v>
      </c>
      <c r="C116" s="154" t="s">
        <v>4</v>
      </c>
      <c r="D116" s="121">
        <v>0</v>
      </c>
      <c r="E116" s="221"/>
      <c r="F116" s="136">
        <f t="shared" si="6"/>
        <v>0</v>
      </c>
    </row>
    <row r="117" spans="1:8" s="2" customFormat="1" ht="15">
      <c r="A117" s="179"/>
      <c r="B117" s="131" t="s">
        <v>67</v>
      </c>
      <c r="C117" s="180"/>
      <c r="D117" s="133"/>
      <c r="E117" s="220"/>
      <c r="F117" s="134">
        <f>SUM(F114:F116)</f>
        <v>0</v>
      </c>
    </row>
    <row r="118" spans="1:8" s="29" customFormat="1" ht="15">
      <c r="A118" s="179"/>
      <c r="B118" s="230"/>
      <c r="C118" s="185"/>
      <c r="D118" s="135"/>
      <c r="E118" s="221"/>
      <c r="F118" s="136"/>
    </row>
    <row r="119" spans="1:8" s="29" customFormat="1" ht="15.6">
      <c r="A119" s="122" t="s">
        <v>73</v>
      </c>
      <c r="B119" s="123" t="s">
        <v>11</v>
      </c>
      <c r="C119" s="124"/>
      <c r="D119" s="125"/>
      <c r="E119" s="218"/>
      <c r="F119" s="124"/>
    </row>
    <row r="120" spans="1:8" s="29" customFormat="1" ht="15.6">
      <c r="A120" s="152" t="s">
        <v>144</v>
      </c>
      <c r="B120" s="186" t="s">
        <v>62</v>
      </c>
      <c r="C120" s="154"/>
      <c r="D120" s="165"/>
      <c r="E120" s="226"/>
      <c r="F120" s="136"/>
    </row>
    <row r="121" spans="1:8" s="29" customFormat="1" ht="15.6">
      <c r="A121" s="152" t="s">
        <v>165</v>
      </c>
      <c r="B121" s="153" t="s">
        <v>267</v>
      </c>
      <c r="C121" s="154" t="s">
        <v>4</v>
      </c>
      <c r="D121" s="121">
        <f>(7.45*3.57+3.55*3.57*2)+(7.4*2*1+7.45*1)</f>
        <v>74.1935</v>
      </c>
      <c r="E121" s="226"/>
      <c r="F121" s="136">
        <f t="shared" ref="F121:F127" si="7">D121*E121</f>
        <v>0</v>
      </c>
    </row>
    <row r="122" spans="1:8" s="29" customFormat="1" ht="15.6">
      <c r="A122" s="152" t="s">
        <v>268</v>
      </c>
      <c r="B122" s="153" t="s">
        <v>269</v>
      </c>
      <c r="C122" s="154" t="s">
        <v>4</v>
      </c>
      <c r="D122" s="121">
        <f>49.75*1</f>
        <v>49.75</v>
      </c>
      <c r="E122" s="226"/>
      <c r="F122" s="136">
        <f t="shared" si="7"/>
        <v>0</v>
      </c>
    </row>
    <row r="123" spans="1:8" s="29" customFormat="1" ht="15.6">
      <c r="A123" s="152" t="s">
        <v>270</v>
      </c>
      <c r="B123" s="158" t="s">
        <v>63</v>
      </c>
      <c r="C123" s="154"/>
      <c r="D123" s="121"/>
      <c r="E123" s="226"/>
      <c r="F123" s="136"/>
      <c r="H123" s="288"/>
    </row>
    <row r="124" spans="1:8" s="29" customFormat="1" ht="15.6">
      <c r="A124" s="152" t="s">
        <v>271</v>
      </c>
      <c r="B124" s="153" t="s">
        <v>272</v>
      </c>
      <c r="C124" s="154" t="s">
        <v>4</v>
      </c>
      <c r="D124" s="121">
        <f>D121+3.4*3*2</f>
        <v>94.593500000000006</v>
      </c>
      <c r="E124" s="226"/>
      <c r="F124" s="136">
        <f t="shared" si="7"/>
        <v>0</v>
      </c>
    </row>
    <row r="125" spans="1:8" s="29" customFormat="1" ht="15.6">
      <c r="A125" s="152" t="s">
        <v>273</v>
      </c>
      <c r="B125" s="153" t="s">
        <v>274</v>
      </c>
      <c r="C125" s="154" t="s">
        <v>4</v>
      </c>
      <c r="D125" s="121">
        <f>D99+1.5</f>
        <v>34.454999999999998</v>
      </c>
      <c r="E125" s="226"/>
      <c r="F125" s="136">
        <f t="shared" si="7"/>
        <v>0</v>
      </c>
    </row>
    <row r="126" spans="1:8" s="29" customFormat="1" ht="15.6">
      <c r="A126" s="172" t="s">
        <v>275</v>
      </c>
      <c r="B126" s="158" t="s">
        <v>57</v>
      </c>
      <c r="C126" s="154"/>
      <c r="D126" s="121"/>
      <c r="E126" s="226"/>
      <c r="F126" s="136"/>
    </row>
    <row r="127" spans="1:8" s="29" customFormat="1" ht="15.6">
      <c r="A127" s="172" t="s">
        <v>276</v>
      </c>
      <c r="B127" s="153" t="s">
        <v>277</v>
      </c>
      <c r="C127" s="154" t="s">
        <v>4</v>
      </c>
      <c r="D127" s="121">
        <f>0.9*2.1*2*2+0.9*4</f>
        <v>11.16</v>
      </c>
      <c r="E127" s="226"/>
      <c r="F127" s="136">
        <f t="shared" si="7"/>
        <v>0</v>
      </c>
    </row>
    <row r="128" spans="1:8" s="29" customFormat="1" ht="15">
      <c r="A128" s="179"/>
      <c r="B128" s="131" t="s">
        <v>58</v>
      </c>
      <c r="C128" s="180"/>
      <c r="D128" s="133"/>
      <c r="E128" s="220"/>
      <c r="F128" s="134">
        <f>SUM(F121:F127)</f>
        <v>0</v>
      </c>
    </row>
    <row r="129" spans="1:6" s="29" customFormat="1" ht="15">
      <c r="A129" s="539"/>
      <c r="B129" s="540"/>
      <c r="C129" s="540"/>
      <c r="D129" s="540"/>
      <c r="E129" s="540"/>
      <c r="F129" s="540"/>
    </row>
    <row r="130" spans="1:6" s="29" customFormat="1" ht="20.25" customHeight="1">
      <c r="A130" s="541" t="s">
        <v>278</v>
      </c>
      <c r="B130" s="542"/>
      <c r="C130" s="542"/>
      <c r="D130" s="253"/>
      <c r="E130" s="195"/>
      <c r="F130" s="187">
        <f>F128+F111+F102+F96+F91+F81+F76+F117+F11</f>
        <v>0</v>
      </c>
    </row>
    <row r="131" spans="1:6" s="29" customFormat="1" ht="15">
      <c r="A131" s="539"/>
      <c r="B131" s="540"/>
      <c r="C131" s="540"/>
      <c r="D131" s="540"/>
      <c r="E131" s="540"/>
      <c r="F131" s="540"/>
    </row>
    <row r="132" spans="1:6" s="29" customFormat="1" ht="20.25" customHeight="1">
      <c r="A132" s="541" t="s">
        <v>346</v>
      </c>
      <c r="B132" s="542"/>
      <c r="C132" s="542"/>
      <c r="D132" s="196">
        <v>0.1</v>
      </c>
      <c r="E132" s="195"/>
      <c r="F132" s="187">
        <f>F130*D132</f>
        <v>0</v>
      </c>
    </row>
    <row r="133" spans="1:6" s="29" customFormat="1" ht="15">
      <c r="A133" s="531"/>
      <c r="B133" s="532"/>
      <c r="C133" s="533"/>
      <c r="D133" s="533"/>
      <c r="E133" s="533"/>
      <c r="F133" s="533"/>
    </row>
    <row r="134" spans="1:6" s="29" customFormat="1" ht="24.75" customHeight="1">
      <c r="A134" s="531" t="s">
        <v>279</v>
      </c>
      <c r="B134" s="532"/>
      <c r="C134" s="533"/>
      <c r="D134" s="533"/>
      <c r="E134" s="534">
        <f>F130+F132</f>
        <v>0</v>
      </c>
      <c r="F134" s="534"/>
    </row>
    <row r="135" spans="1:6" s="29" customFormat="1" ht="15.6">
      <c r="A135" s="102"/>
      <c r="B135" s="102"/>
      <c r="C135" s="103"/>
      <c r="D135" s="104"/>
      <c r="E135" s="103"/>
      <c r="F135" s="103"/>
    </row>
  </sheetData>
  <sheetProtection selectLockedCells="1"/>
  <mergeCells count="9">
    <mergeCell ref="A133:F133"/>
    <mergeCell ref="A134:D134"/>
    <mergeCell ref="E134:F134"/>
    <mergeCell ref="A1:F1"/>
    <mergeCell ref="A3:F3"/>
    <mergeCell ref="A129:F129"/>
    <mergeCell ref="A130:C130"/>
    <mergeCell ref="A131:F131"/>
    <mergeCell ref="A132:C132"/>
  </mergeCells>
  <pageMargins left="0.7" right="0.7" top="0.75" bottom="0.75" header="0.3" footer="0.3"/>
  <pageSetup paperSize="9" scale="78" orientation="portrait" r:id="rId1"/>
  <rowBreaks count="1" manualBreakCount="1">
    <brk id="119" max="5" man="1"/>
  </rowBreaks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50F84-B3C2-4F5D-AFD9-D54491371C32}">
  <sheetPr>
    <tabColor theme="0"/>
  </sheetPr>
  <dimension ref="A3:H114"/>
  <sheetViews>
    <sheetView view="pageBreakPreview" topLeftCell="A60" zoomScale="80" zoomScaleNormal="100" zoomScaleSheetLayoutView="80" workbookViewId="0">
      <selection activeCell="B67" sqref="B67"/>
    </sheetView>
  </sheetViews>
  <sheetFormatPr baseColWidth="10" defaultColWidth="11.5546875" defaultRowHeight="14.4"/>
  <cols>
    <col min="1" max="1" width="11.5546875" style="314"/>
    <col min="2" max="2" width="62.88671875" style="314" customWidth="1"/>
    <col min="3" max="3" width="8.33203125" style="314" customWidth="1"/>
    <col min="4" max="5" width="11.5546875" style="314"/>
    <col min="6" max="6" width="17" style="314" customWidth="1"/>
    <col min="7" max="16384" width="11.5546875" style="314"/>
  </cols>
  <sheetData>
    <row r="3" spans="1:8" s="315" customFormat="1" ht="30.75" customHeight="1">
      <c r="A3" s="543" t="s">
        <v>635</v>
      </c>
      <c r="B3" s="544"/>
      <c r="C3" s="544"/>
      <c r="D3" s="544"/>
      <c r="E3" s="544"/>
      <c r="F3" s="545"/>
    </row>
    <row r="4" spans="1:8" s="385" customFormat="1" ht="41.4">
      <c r="A4" s="389" t="s">
        <v>12</v>
      </c>
      <c r="B4" s="388" t="s">
        <v>8</v>
      </c>
      <c r="C4" s="386" t="s">
        <v>0</v>
      </c>
      <c r="D4" s="386" t="s">
        <v>2</v>
      </c>
      <c r="E4" s="387" t="s">
        <v>3</v>
      </c>
      <c r="F4" s="386" t="s">
        <v>1</v>
      </c>
    </row>
    <row r="5" spans="1:8" s="315" customFormat="1" ht="15">
      <c r="A5" s="363"/>
      <c r="B5" s="351"/>
      <c r="C5" s="360"/>
      <c r="D5" s="339"/>
      <c r="E5" s="340"/>
      <c r="F5" s="339"/>
    </row>
    <row r="6" spans="1:8" s="315" customFormat="1" ht="18" customHeight="1">
      <c r="A6" s="350" t="s">
        <v>13</v>
      </c>
      <c r="B6" s="349" t="s">
        <v>287</v>
      </c>
      <c r="C6" s="348"/>
      <c r="D6" s="346"/>
      <c r="E6" s="347"/>
      <c r="F6" s="346"/>
    </row>
    <row r="7" spans="1:8" s="315" customFormat="1" ht="18" customHeight="1">
      <c r="A7" s="345"/>
      <c r="B7" s="381"/>
      <c r="C7" s="341"/>
      <c r="D7" s="341"/>
      <c r="E7" s="340"/>
      <c r="F7" s="339"/>
    </row>
    <row r="8" spans="1:8" s="315" customFormat="1" ht="18" customHeight="1">
      <c r="A8" s="345" t="s">
        <v>288</v>
      </c>
      <c r="B8" s="342" t="s">
        <v>622</v>
      </c>
      <c r="C8" s="341" t="s">
        <v>609</v>
      </c>
      <c r="D8" s="341">
        <v>1</v>
      </c>
      <c r="E8" s="340"/>
      <c r="F8" s="339">
        <f>D8*E8</f>
        <v>0</v>
      </c>
    </row>
    <row r="9" spans="1:8" s="315" customFormat="1" ht="18" customHeight="1">
      <c r="A9" s="345" t="s">
        <v>289</v>
      </c>
      <c r="B9" s="342" t="s">
        <v>621</v>
      </c>
      <c r="C9" s="341" t="s">
        <v>9</v>
      </c>
      <c r="D9" s="341">
        <v>8</v>
      </c>
      <c r="E9" s="340"/>
      <c r="F9" s="339">
        <f>D9*E9</f>
        <v>0</v>
      </c>
    </row>
    <row r="10" spans="1:8" s="315" customFormat="1" ht="18" customHeight="1">
      <c r="A10" s="375"/>
      <c r="B10" s="384" t="s">
        <v>290</v>
      </c>
      <c r="C10" s="383"/>
      <c r="D10" s="383"/>
      <c r="E10" s="371"/>
      <c r="F10" s="370">
        <f>SUM(F8:F9)</f>
        <v>0</v>
      </c>
      <c r="H10" s="366"/>
    </row>
    <row r="11" spans="1:8" s="315" customFormat="1" ht="9.6" customHeight="1">
      <c r="A11" s="345"/>
      <c r="B11" s="381"/>
      <c r="C11" s="341"/>
      <c r="D11" s="341"/>
      <c r="E11" s="340"/>
      <c r="F11" s="339"/>
    </row>
    <row r="12" spans="1:8" s="315" customFormat="1" ht="17.399999999999999">
      <c r="A12" s="363"/>
      <c r="B12" s="382" t="s">
        <v>291</v>
      </c>
      <c r="C12" s="362"/>
      <c r="D12" s="335"/>
      <c r="E12" s="334"/>
      <c r="F12" s="333">
        <f>F10</f>
        <v>0</v>
      </c>
    </row>
    <row r="13" spans="1:8" s="315" customFormat="1" ht="15">
      <c r="A13" s="363"/>
      <c r="B13" s="351"/>
      <c r="C13" s="360"/>
      <c r="D13" s="339"/>
      <c r="E13" s="340"/>
      <c r="F13" s="339"/>
    </row>
    <row r="14" spans="1:8" s="315" customFormat="1" ht="15.6">
      <c r="A14" s="350" t="s">
        <v>14</v>
      </c>
      <c r="B14" s="349" t="s">
        <v>15</v>
      </c>
      <c r="C14" s="348"/>
      <c r="D14" s="346"/>
      <c r="E14" s="347"/>
      <c r="F14" s="346"/>
    </row>
    <row r="15" spans="1:8" s="315" customFormat="1" ht="17.25" customHeight="1">
      <c r="A15" s="345"/>
      <c r="B15" s="381"/>
      <c r="C15" s="341"/>
      <c r="D15" s="341"/>
      <c r="E15" s="376"/>
      <c r="F15" s="339"/>
    </row>
    <row r="16" spans="1:8" s="315" customFormat="1" ht="17.25" customHeight="1">
      <c r="A16" s="345" t="s">
        <v>79</v>
      </c>
      <c r="B16" s="380" t="s">
        <v>292</v>
      </c>
      <c r="C16" s="341"/>
      <c r="D16" s="341"/>
      <c r="E16" s="340"/>
      <c r="F16" s="339"/>
    </row>
    <row r="17" spans="1:6" s="315" customFormat="1" ht="15.6">
      <c r="A17" s="345" t="s">
        <v>293</v>
      </c>
      <c r="B17" s="379" t="s">
        <v>19</v>
      </c>
      <c r="C17" s="341"/>
      <c r="D17" s="341"/>
      <c r="E17" s="340"/>
      <c r="F17" s="339"/>
    </row>
    <row r="18" spans="1:6" s="315" customFormat="1" ht="18" customHeight="1">
      <c r="A18" s="345" t="s">
        <v>294</v>
      </c>
      <c r="B18" s="342" t="s">
        <v>295</v>
      </c>
      <c r="C18" s="341" t="s">
        <v>4</v>
      </c>
      <c r="D18" s="341">
        <v>0</v>
      </c>
      <c r="E18" s="340"/>
      <c r="F18" s="339">
        <f>D18*E18</f>
        <v>0</v>
      </c>
    </row>
    <row r="19" spans="1:6" s="315" customFormat="1" ht="18" customHeight="1">
      <c r="A19" s="345" t="s">
        <v>296</v>
      </c>
      <c r="B19" s="342" t="s">
        <v>297</v>
      </c>
      <c r="C19" s="341"/>
      <c r="D19" s="341"/>
      <c r="E19" s="340"/>
      <c r="F19" s="339"/>
    </row>
    <row r="20" spans="1:6" s="315" customFormat="1" ht="18" customHeight="1">
      <c r="A20" s="345"/>
      <c r="B20" s="342" t="s">
        <v>20</v>
      </c>
      <c r="C20" s="341" t="s">
        <v>10</v>
      </c>
      <c r="D20" s="341">
        <v>0</v>
      </c>
      <c r="E20" s="340"/>
      <c r="F20" s="339">
        <f>D20*E20</f>
        <v>0</v>
      </c>
    </row>
    <row r="21" spans="1:6" s="315" customFormat="1" ht="18" customHeight="1">
      <c r="A21" s="345"/>
      <c r="B21" s="342" t="s">
        <v>61</v>
      </c>
      <c r="C21" s="341" t="s">
        <v>23</v>
      </c>
      <c r="D21" s="341">
        <f>D20*70</f>
        <v>0</v>
      </c>
      <c r="E21" s="340"/>
      <c r="F21" s="339">
        <f>D21*E21</f>
        <v>0</v>
      </c>
    </row>
    <row r="22" spans="1:6" s="315" customFormat="1" ht="18" customHeight="1">
      <c r="A22" s="345"/>
      <c r="B22" s="342" t="s">
        <v>21</v>
      </c>
      <c r="C22" s="341" t="s">
        <v>4</v>
      </c>
      <c r="D22" s="341">
        <f>D20*12</f>
        <v>0</v>
      </c>
      <c r="E22" s="340"/>
      <c r="F22" s="339">
        <f>D22*E22</f>
        <v>0</v>
      </c>
    </row>
    <row r="23" spans="1:6" s="315" customFormat="1" ht="18" customHeight="1">
      <c r="A23" s="345"/>
      <c r="B23" s="342" t="s">
        <v>365</v>
      </c>
      <c r="C23" s="341" t="s">
        <v>4</v>
      </c>
      <c r="D23" s="341">
        <v>0</v>
      </c>
      <c r="E23" s="340"/>
      <c r="F23" s="339">
        <f>D23*E23</f>
        <v>0</v>
      </c>
    </row>
    <row r="24" spans="1:6" s="315" customFormat="1" ht="18" customHeight="1">
      <c r="A24" s="345" t="s">
        <v>298</v>
      </c>
      <c r="B24" s="378" t="s">
        <v>299</v>
      </c>
      <c r="C24" s="341"/>
      <c r="D24" s="341"/>
      <c r="E24" s="340"/>
      <c r="F24" s="339"/>
    </row>
    <row r="25" spans="1:6" s="315" customFormat="1" ht="18" customHeight="1">
      <c r="A25" s="345"/>
      <c r="B25" s="342" t="s">
        <v>20</v>
      </c>
      <c r="C25" s="341" t="s">
        <v>10</v>
      </c>
      <c r="D25" s="341">
        <v>3</v>
      </c>
      <c r="E25" s="340"/>
      <c r="F25" s="339">
        <f>D25*E25</f>
        <v>0</v>
      </c>
    </row>
    <row r="26" spans="1:6" s="315" customFormat="1" ht="18" customHeight="1">
      <c r="A26" s="345"/>
      <c r="B26" s="342" t="s">
        <v>300</v>
      </c>
      <c r="C26" s="341" t="s">
        <v>23</v>
      </c>
      <c r="D26" s="341">
        <f>D25*12</f>
        <v>36</v>
      </c>
      <c r="E26" s="340"/>
      <c r="F26" s="339">
        <f>D26*E26</f>
        <v>0</v>
      </c>
    </row>
    <row r="27" spans="1:6" s="315" customFormat="1" ht="18" customHeight="1">
      <c r="A27" s="345" t="s">
        <v>301</v>
      </c>
      <c r="B27" s="378" t="s">
        <v>620</v>
      </c>
      <c r="C27" s="341"/>
      <c r="D27" s="341"/>
      <c r="E27" s="340"/>
      <c r="F27" s="339"/>
    </row>
    <row r="28" spans="1:6" s="315" customFormat="1" ht="18" customHeight="1">
      <c r="A28" s="345"/>
      <c r="B28" s="342" t="s">
        <v>302</v>
      </c>
      <c r="C28" s="341" t="s">
        <v>10</v>
      </c>
      <c r="D28" s="341">
        <f>8*3.5*0.1</f>
        <v>2.8000000000000003</v>
      </c>
      <c r="E28" s="340"/>
      <c r="F28" s="339">
        <f>D28*E28</f>
        <v>0</v>
      </c>
    </row>
    <row r="29" spans="1:6" s="315" customFormat="1" ht="18" customHeight="1">
      <c r="A29" s="345"/>
      <c r="B29" s="342" t="s">
        <v>303</v>
      </c>
      <c r="C29" s="341" t="s">
        <v>23</v>
      </c>
      <c r="D29" s="341">
        <f>D28*80</f>
        <v>224.00000000000003</v>
      </c>
      <c r="E29" s="340"/>
      <c r="F29" s="339">
        <f>D29*E29</f>
        <v>0</v>
      </c>
    </row>
    <row r="30" spans="1:6" s="315" customFormat="1" ht="18" customHeight="1">
      <c r="A30" s="345"/>
      <c r="B30" s="342" t="s">
        <v>304</v>
      </c>
      <c r="C30" s="341" t="s">
        <v>4</v>
      </c>
      <c r="D30" s="341">
        <f>D28*12</f>
        <v>33.6</v>
      </c>
      <c r="E30" s="340"/>
      <c r="F30" s="339">
        <f>D30*E30</f>
        <v>0</v>
      </c>
    </row>
    <row r="31" spans="1:6" s="315" customFormat="1" ht="18" customHeight="1">
      <c r="A31" s="345" t="s">
        <v>366</v>
      </c>
      <c r="B31" s="342" t="s">
        <v>367</v>
      </c>
      <c r="C31" s="341" t="s">
        <v>4</v>
      </c>
      <c r="D31" s="341">
        <v>0</v>
      </c>
      <c r="E31" s="340"/>
      <c r="F31" s="339">
        <f>D31*E31</f>
        <v>0</v>
      </c>
    </row>
    <row r="32" spans="1:6" s="315" customFormat="1" ht="17.25" customHeight="1">
      <c r="A32" s="345" t="s">
        <v>305</v>
      </c>
      <c r="B32" s="342" t="s">
        <v>25</v>
      </c>
      <c r="C32" s="368"/>
      <c r="D32" s="368"/>
      <c r="E32" s="376"/>
      <c r="F32" s="339"/>
    </row>
    <row r="33" spans="1:6" s="315" customFormat="1" ht="17.25" customHeight="1">
      <c r="A33" s="345" t="s">
        <v>306</v>
      </c>
      <c r="B33" s="378" t="s">
        <v>619</v>
      </c>
      <c r="C33" s="341" t="s">
        <v>4</v>
      </c>
      <c r="D33" s="341">
        <v>0</v>
      </c>
      <c r="E33" s="376"/>
      <c r="F33" s="339">
        <f>D33*E33</f>
        <v>0</v>
      </c>
    </row>
    <row r="34" spans="1:6" s="315" customFormat="1" ht="17.25" customHeight="1">
      <c r="A34" s="345" t="s">
        <v>307</v>
      </c>
      <c r="B34" s="378" t="s">
        <v>308</v>
      </c>
      <c r="C34" s="341"/>
      <c r="D34" s="341"/>
      <c r="E34" s="376"/>
      <c r="F34" s="339"/>
    </row>
    <row r="35" spans="1:6" s="315" customFormat="1" ht="17.25" customHeight="1">
      <c r="A35" s="345"/>
      <c r="B35" s="342" t="s">
        <v>20</v>
      </c>
      <c r="C35" s="341" t="s">
        <v>10</v>
      </c>
      <c r="D35" s="341">
        <v>0</v>
      </c>
      <c r="E35" s="376"/>
      <c r="F35" s="339">
        <f>D35*E35</f>
        <v>0</v>
      </c>
    </row>
    <row r="36" spans="1:6" s="315" customFormat="1" ht="17.25" customHeight="1">
      <c r="A36" s="345"/>
      <c r="B36" s="342" t="s">
        <v>22</v>
      </c>
      <c r="C36" s="341" t="s">
        <v>23</v>
      </c>
      <c r="D36" s="341">
        <f>D35*80</f>
        <v>0</v>
      </c>
      <c r="E36" s="376"/>
      <c r="F36" s="339">
        <f>D36*E36</f>
        <v>0</v>
      </c>
    </row>
    <row r="37" spans="1:6" s="315" customFormat="1" ht="17.25" customHeight="1">
      <c r="A37" s="345"/>
      <c r="B37" s="342" t="s">
        <v>21</v>
      </c>
      <c r="C37" s="341" t="s">
        <v>4</v>
      </c>
      <c r="D37" s="341">
        <f>D35*12</f>
        <v>0</v>
      </c>
      <c r="E37" s="376"/>
      <c r="F37" s="339">
        <f>D37*E37</f>
        <v>0</v>
      </c>
    </row>
    <row r="38" spans="1:6" s="315" customFormat="1" ht="17.25" customHeight="1">
      <c r="A38" s="345" t="s">
        <v>309</v>
      </c>
      <c r="B38" s="378" t="s">
        <v>310</v>
      </c>
      <c r="C38" s="341"/>
      <c r="D38" s="341"/>
      <c r="E38" s="376"/>
      <c r="F38" s="339"/>
    </row>
    <row r="39" spans="1:6" s="315" customFormat="1" ht="17.25" customHeight="1">
      <c r="A39" s="345"/>
      <c r="B39" s="342" t="s">
        <v>20</v>
      </c>
      <c r="C39" s="341" t="s">
        <v>10</v>
      </c>
      <c r="D39" s="341">
        <v>0</v>
      </c>
      <c r="E39" s="376"/>
      <c r="F39" s="339">
        <f>D39*E39</f>
        <v>0</v>
      </c>
    </row>
    <row r="40" spans="1:6" s="315" customFormat="1" ht="17.25" customHeight="1">
      <c r="A40" s="345"/>
      <c r="B40" s="342" t="s">
        <v>22</v>
      </c>
      <c r="C40" s="341" t="s">
        <v>23</v>
      </c>
      <c r="D40" s="341">
        <f>D39*80</f>
        <v>0</v>
      </c>
      <c r="E40" s="376"/>
      <c r="F40" s="339">
        <f>D40*E40</f>
        <v>0</v>
      </c>
    </row>
    <row r="41" spans="1:6" s="315" customFormat="1" ht="17.25" customHeight="1">
      <c r="A41" s="345"/>
      <c r="B41" s="342" t="s">
        <v>21</v>
      </c>
      <c r="C41" s="341" t="s">
        <v>4</v>
      </c>
      <c r="D41" s="341">
        <f>D39*12</f>
        <v>0</v>
      </c>
      <c r="E41" s="376"/>
      <c r="F41" s="339">
        <f>D41*E41</f>
        <v>0</v>
      </c>
    </row>
    <row r="42" spans="1:6" s="315" customFormat="1" ht="17.25" customHeight="1">
      <c r="A42" s="345" t="s">
        <v>311</v>
      </c>
      <c r="B42" s="342" t="s">
        <v>33</v>
      </c>
      <c r="C42" s="341"/>
      <c r="D42" s="341"/>
      <c r="E42" s="376"/>
      <c r="F42" s="339"/>
    </row>
    <row r="43" spans="1:6" s="315" customFormat="1" ht="17.25" customHeight="1">
      <c r="A43" s="345"/>
      <c r="B43" s="342" t="s">
        <v>618</v>
      </c>
      <c r="C43" s="341" t="s">
        <v>4</v>
      </c>
      <c r="D43" s="341">
        <v>0</v>
      </c>
      <c r="E43" s="376"/>
      <c r="F43" s="339">
        <f>D43*E43</f>
        <v>0</v>
      </c>
    </row>
    <row r="44" spans="1:6" s="315" customFormat="1" ht="17.25" customHeight="1">
      <c r="A44" s="345"/>
      <c r="B44" s="342" t="s">
        <v>617</v>
      </c>
      <c r="C44" s="341" t="s">
        <v>4</v>
      </c>
      <c r="D44" s="341">
        <v>0</v>
      </c>
      <c r="E44" s="376"/>
      <c r="F44" s="339">
        <f>D44*E44</f>
        <v>0</v>
      </c>
    </row>
    <row r="45" spans="1:6" s="315" customFormat="1" ht="17.25" customHeight="1">
      <c r="A45" s="345" t="s">
        <v>312</v>
      </c>
      <c r="B45" s="342" t="s">
        <v>313</v>
      </c>
      <c r="C45" s="341" t="s">
        <v>314</v>
      </c>
      <c r="D45" s="341">
        <v>0</v>
      </c>
      <c r="E45" s="376"/>
      <c r="F45" s="339">
        <f>D45*E45</f>
        <v>0</v>
      </c>
    </row>
    <row r="46" spans="1:6" s="315" customFormat="1" ht="17.25" customHeight="1">
      <c r="A46" s="345" t="s">
        <v>315</v>
      </c>
      <c r="B46" s="377" t="s">
        <v>34</v>
      </c>
      <c r="C46" s="341"/>
      <c r="D46" s="341"/>
      <c r="E46" s="376"/>
      <c r="F46" s="339"/>
    </row>
    <row r="47" spans="1:6" s="315" customFormat="1" ht="17.25" customHeight="1">
      <c r="A47" s="345" t="s">
        <v>17</v>
      </c>
      <c r="B47" s="377" t="s">
        <v>35</v>
      </c>
      <c r="C47" s="341"/>
      <c r="D47" s="341"/>
      <c r="E47" s="376"/>
      <c r="F47" s="339"/>
    </row>
    <row r="48" spans="1:6" s="315" customFormat="1" ht="17.25" customHeight="1">
      <c r="A48" s="345" t="s">
        <v>86</v>
      </c>
      <c r="B48" s="342" t="s">
        <v>316</v>
      </c>
      <c r="C48" s="341" t="s">
        <v>9</v>
      </c>
      <c r="D48" s="341">
        <v>2</v>
      </c>
      <c r="E48" s="376"/>
      <c r="F48" s="339">
        <f>D48*E48</f>
        <v>0</v>
      </c>
    </row>
    <row r="49" spans="1:6" s="315" customFormat="1" ht="17.25" customHeight="1">
      <c r="A49" s="345" t="s">
        <v>31</v>
      </c>
      <c r="B49" s="377" t="s">
        <v>36</v>
      </c>
      <c r="C49" s="341"/>
      <c r="D49" s="341"/>
      <c r="E49" s="376"/>
      <c r="F49" s="339"/>
    </row>
    <row r="50" spans="1:6" s="315" customFormat="1" ht="17.25" customHeight="1">
      <c r="A50" s="345" t="s">
        <v>32</v>
      </c>
      <c r="B50" s="342" t="s">
        <v>64</v>
      </c>
      <c r="C50" s="341" t="s">
        <v>9</v>
      </c>
      <c r="D50" s="341">
        <v>0</v>
      </c>
      <c r="E50" s="376"/>
      <c r="F50" s="339">
        <f>D50*E50</f>
        <v>0</v>
      </c>
    </row>
    <row r="51" spans="1:6" s="315" customFormat="1" ht="17.25" customHeight="1">
      <c r="A51" s="375"/>
      <c r="B51" s="374" t="s">
        <v>37</v>
      </c>
      <c r="C51" s="373"/>
      <c r="D51" s="372"/>
      <c r="E51" s="371"/>
      <c r="F51" s="370">
        <f>SUM(F18:F50)</f>
        <v>0</v>
      </c>
    </row>
    <row r="52" spans="1:6" s="315" customFormat="1" ht="15.6">
      <c r="A52" s="345"/>
      <c r="B52" s="369"/>
      <c r="C52" s="360"/>
      <c r="D52" s="339"/>
      <c r="E52" s="340"/>
      <c r="F52" s="339"/>
    </row>
    <row r="53" spans="1:6" s="315" customFormat="1" ht="18.600000000000001" customHeight="1">
      <c r="A53" s="345"/>
      <c r="B53" s="337" t="s">
        <v>38</v>
      </c>
      <c r="C53" s="362"/>
      <c r="D53" s="335"/>
      <c r="E53" s="334"/>
      <c r="F53" s="333">
        <f>F51</f>
        <v>0</v>
      </c>
    </row>
    <row r="54" spans="1:6" s="315" customFormat="1" ht="15.6">
      <c r="A54" s="345"/>
      <c r="B54" s="367"/>
      <c r="C54" s="360"/>
      <c r="D54" s="339"/>
      <c r="E54" s="340"/>
      <c r="F54" s="339"/>
    </row>
    <row r="55" spans="1:6" s="315" customFormat="1" ht="15.6">
      <c r="A55" s="350" t="s">
        <v>18</v>
      </c>
      <c r="B55" s="349" t="s">
        <v>368</v>
      </c>
      <c r="C55" s="348"/>
      <c r="D55" s="346"/>
      <c r="E55" s="347"/>
      <c r="F55" s="346"/>
    </row>
    <row r="56" spans="1:6" s="315" customFormat="1" ht="15">
      <c r="A56" s="345" t="s">
        <v>116</v>
      </c>
      <c r="B56" s="342" t="s">
        <v>369</v>
      </c>
      <c r="C56" s="341" t="s">
        <v>9</v>
      </c>
      <c r="D56" s="341">
        <v>0</v>
      </c>
      <c r="E56" s="340"/>
      <c r="F56" s="339">
        <f>D56*E56</f>
        <v>0</v>
      </c>
    </row>
    <row r="57" spans="1:6" s="315" customFormat="1" ht="17.399999999999999">
      <c r="A57" s="363"/>
      <c r="B57" s="337" t="s">
        <v>370</v>
      </c>
      <c r="C57" s="362"/>
      <c r="D57" s="335"/>
      <c r="E57" s="334"/>
      <c r="F57" s="333">
        <f>SUM(F56:F56)</f>
        <v>0</v>
      </c>
    </row>
    <row r="58" spans="1:6" s="315" customFormat="1" ht="15.6">
      <c r="A58" s="363"/>
      <c r="B58" s="367"/>
      <c r="C58" s="360"/>
      <c r="D58" s="339"/>
      <c r="E58" s="340"/>
      <c r="F58" s="339"/>
    </row>
    <row r="59" spans="1:6" s="315" customFormat="1" ht="15.6">
      <c r="A59" s="350" t="s">
        <v>41</v>
      </c>
      <c r="B59" s="349" t="s">
        <v>39</v>
      </c>
      <c r="C59" s="348"/>
      <c r="D59" s="346"/>
      <c r="E59" s="347"/>
      <c r="F59" s="346"/>
    </row>
    <row r="60" spans="1:6" s="315" customFormat="1" ht="15">
      <c r="A60" s="345" t="s">
        <v>123</v>
      </c>
      <c r="B60" s="364" t="s">
        <v>317</v>
      </c>
      <c r="C60" s="341" t="s">
        <v>7</v>
      </c>
      <c r="D60" s="341">
        <v>0</v>
      </c>
      <c r="E60" s="340"/>
      <c r="F60" s="339">
        <f>D60*E60</f>
        <v>0</v>
      </c>
    </row>
    <row r="61" spans="1:6" s="315" customFormat="1" ht="17.399999999999999">
      <c r="A61" s="363"/>
      <c r="B61" s="337" t="s">
        <v>40</v>
      </c>
      <c r="C61" s="362"/>
      <c r="D61" s="335"/>
      <c r="E61" s="334"/>
      <c r="F61" s="333">
        <f>SUM(F60:F60)</f>
        <v>0</v>
      </c>
    </row>
    <row r="62" spans="1:6" s="315" customFormat="1" ht="15.6">
      <c r="A62" s="363"/>
      <c r="B62" s="367"/>
      <c r="C62" s="360"/>
      <c r="D62" s="339"/>
      <c r="E62" s="340"/>
      <c r="F62" s="339"/>
    </row>
    <row r="63" spans="1:6" s="315" customFormat="1" ht="15.6">
      <c r="A63" s="350" t="s">
        <v>47</v>
      </c>
      <c r="B63" s="349" t="s">
        <v>42</v>
      </c>
      <c r="C63" s="348"/>
      <c r="D63" s="346"/>
      <c r="E63" s="347"/>
      <c r="F63" s="346"/>
    </row>
    <row r="64" spans="1:6" s="315" customFormat="1" ht="15">
      <c r="A64" s="345" t="s">
        <v>49</v>
      </c>
      <c r="B64" s="364" t="s">
        <v>43</v>
      </c>
      <c r="C64" s="360"/>
      <c r="D64" s="339"/>
      <c r="E64" s="340"/>
      <c r="F64" s="339"/>
    </row>
    <row r="65" spans="1:6" s="315" customFormat="1" ht="15.6">
      <c r="A65" s="345" t="s">
        <v>50</v>
      </c>
      <c r="B65" s="344" t="s">
        <v>44</v>
      </c>
      <c r="C65" s="360"/>
      <c r="D65" s="339"/>
      <c r="E65" s="340"/>
      <c r="F65" s="339"/>
    </row>
    <row r="66" spans="1:6" s="315" customFormat="1" ht="15">
      <c r="A66" s="345" t="s">
        <v>318</v>
      </c>
      <c r="B66" s="342" t="s">
        <v>701</v>
      </c>
      <c r="C66" s="341" t="s">
        <v>4</v>
      </c>
      <c r="D66" s="341">
        <v>0</v>
      </c>
      <c r="E66" s="340"/>
      <c r="F66" s="339">
        <f>D66*E66</f>
        <v>0</v>
      </c>
    </row>
    <row r="67" spans="1:6" s="315" customFormat="1" ht="15.6">
      <c r="A67" s="345" t="s">
        <v>319</v>
      </c>
      <c r="B67" s="344" t="s">
        <v>45</v>
      </c>
      <c r="C67" s="368"/>
      <c r="D67" s="368"/>
      <c r="E67" s="340"/>
      <c r="F67" s="339"/>
    </row>
    <row r="68" spans="1:6" s="315" customFormat="1" ht="15">
      <c r="A68" s="345" t="s">
        <v>320</v>
      </c>
      <c r="B68" s="342" t="s">
        <v>697</v>
      </c>
      <c r="C68" s="341" t="s">
        <v>4</v>
      </c>
      <c r="D68" s="341">
        <f>22*0.4*0</f>
        <v>0</v>
      </c>
      <c r="E68" s="340"/>
      <c r="F68" s="339">
        <f>D68*E68</f>
        <v>0</v>
      </c>
    </row>
    <row r="69" spans="1:6" s="315" customFormat="1" ht="15.6">
      <c r="A69" s="345" t="s">
        <v>321</v>
      </c>
      <c r="B69" s="344" t="s">
        <v>616</v>
      </c>
      <c r="C69" s="341"/>
      <c r="D69" s="341"/>
      <c r="E69" s="340"/>
      <c r="F69" s="339"/>
    </row>
    <row r="70" spans="1:6" s="315" customFormat="1" ht="15">
      <c r="A70" s="345" t="s">
        <v>323</v>
      </c>
      <c r="B70" s="342" t="s">
        <v>324</v>
      </c>
      <c r="C70" s="341" t="s">
        <v>9</v>
      </c>
      <c r="D70" s="341"/>
      <c r="E70" s="340"/>
      <c r="F70" s="339">
        <f>D70*E70</f>
        <v>0</v>
      </c>
    </row>
    <row r="71" spans="1:6" s="315" customFormat="1" ht="17.25" customHeight="1">
      <c r="A71" s="363"/>
      <c r="B71" s="337" t="s">
        <v>46</v>
      </c>
      <c r="C71" s="362"/>
      <c r="D71" s="335"/>
      <c r="E71" s="334"/>
      <c r="F71" s="333">
        <f>SUM(F66:F70)</f>
        <v>0</v>
      </c>
    </row>
    <row r="72" spans="1:6" s="366" customFormat="1" ht="17.25" customHeight="1">
      <c r="A72" s="363"/>
      <c r="B72" s="367"/>
      <c r="C72" s="360"/>
      <c r="D72" s="339"/>
      <c r="E72" s="340"/>
      <c r="F72" s="339"/>
    </row>
    <row r="73" spans="1:6" s="315" customFormat="1" ht="15.6">
      <c r="A73" s="350" t="s">
        <v>53</v>
      </c>
      <c r="B73" s="349" t="s">
        <v>48</v>
      </c>
      <c r="C73" s="348"/>
      <c r="D73" s="346"/>
      <c r="E73" s="347"/>
      <c r="F73" s="346"/>
    </row>
    <row r="74" spans="1:6" s="315" customFormat="1" ht="15.6">
      <c r="A74" s="343" t="s">
        <v>325</v>
      </c>
      <c r="B74" s="365" t="s">
        <v>51</v>
      </c>
      <c r="C74" s="341"/>
      <c r="D74" s="341"/>
      <c r="E74" s="340"/>
      <c r="F74" s="339"/>
    </row>
    <row r="75" spans="1:6" s="315" customFormat="1" ht="15">
      <c r="A75" s="343" t="s">
        <v>326</v>
      </c>
      <c r="B75" s="364" t="s">
        <v>615</v>
      </c>
      <c r="C75" s="341" t="s">
        <v>4</v>
      </c>
      <c r="D75" s="341">
        <v>0.34</v>
      </c>
      <c r="E75" s="340"/>
      <c r="F75" s="339">
        <f>D75*E75</f>
        <v>0</v>
      </c>
    </row>
    <row r="76" spans="1:6" s="315" customFormat="1" ht="18" customHeight="1">
      <c r="A76" s="363"/>
      <c r="B76" s="337" t="s">
        <v>52</v>
      </c>
      <c r="C76" s="362"/>
      <c r="D76" s="335"/>
      <c r="E76" s="334"/>
      <c r="F76" s="333">
        <f>SUM(F75)</f>
        <v>0</v>
      </c>
    </row>
    <row r="77" spans="1:6" s="315" customFormat="1" ht="10.95" customHeight="1">
      <c r="A77" s="345"/>
      <c r="B77" s="361"/>
      <c r="C77" s="360"/>
      <c r="D77" s="339"/>
      <c r="E77" s="340"/>
      <c r="F77" s="339"/>
    </row>
    <row r="78" spans="1:6" s="315" customFormat="1" ht="15.6">
      <c r="A78" s="350" t="s">
        <v>72</v>
      </c>
      <c r="B78" s="349" t="s">
        <v>55</v>
      </c>
      <c r="C78" s="348"/>
      <c r="D78" s="346"/>
      <c r="E78" s="347"/>
      <c r="F78" s="346"/>
    </row>
    <row r="79" spans="1:6" s="315" customFormat="1" ht="15.6">
      <c r="A79" s="345" t="s">
        <v>132</v>
      </c>
      <c r="B79" s="344" t="s">
        <v>614</v>
      </c>
      <c r="C79" s="360"/>
      <c r="D79" s="339"/>
      <c r="E79" s="340"/>
      <c r="F79" s="339"/>
    </row>
    <row r="80" spans="1:6" s="315" customFormat="1" ht="15">
      <c r="A80" s="345" t="s">
        <v>163</v>
      </c>
      <c r="B80" s="342" t="s">
        <v>327</v>
      </c>
      <c r="C80" s="360"/>
      <c r="D80" s="339"/>
      <c r="E80" s="340"/>
      <c r="F80" s="339"/>
    </row>
    <row r="81" spans="1:6" s="315" customFormat="1" ht="15">
      <c r="A81" s="345"/>
      <c r="B81" s="342" t="s">
        <v>328</v>
      </c>
      <c r="C81" s="341" t="s">
        <v>9</v>
      </c>
      <c r="D81" s="341">
        <v>8</v>
      </c>
      <c r="E81" s="340"/>
      <c r="F81" s="339">
        <f>D81*E81</f>
        <v>0</v>
      </c>
    </row>
    <row r="82" spans="1:6" s="315" customFormat="1" ht="15">
      <c r="A82" s="345"/>
      <c r="B82" s="342" t="s">
        <v>613</v>
      </c>
      <c r="C82" s="341" t="s">
        <v>9</v>
      </c>
      <c r="D82" s="341">
        <v>4</v>
      </c>
      <c r="E82" s="340"/>
      <c r="F82" s="339">
        <f>D82*E82</f>
        <v>0</v>
      </c>
    </row>
    <row r="83" spans="1:6" s="315" customFormat="1" ht="17.399999999999999" customHeight="1">
      <c r="A83" s="338"/>
      <c r="B83" s="337" t="s">
        <v>56</v>
      </c>
      <c r="C83" s="336"/>
      <c r="D83" s="335"/>
      <c r="E83" s="334"/>
      <c r="F83" s="333">
        <f>SUM(F82:F82)</f>
        <v>0</v>
      </c>
    </row>
    <row r="84" spans="1:6" s="315" customFormat="1" ht="10.95" customHeight="1">
      <c r="A84" s="338"/>
      <c r="B84" s="351"/>
      <c r="C84" s="341"/>
      <c r="D84" s="339"/>
      <c r="E84" s="340"/>
      <c r="F84" s="339"/>
    </row>
    <row r="85" spans="1:6" s="315" customFormat="1" ht="15.6">
      <c r="A85" s="350" t="s">
        <v>54</v>
      </c>
      <c r="B85" s="349" t="s">
        <v>329</v>
      </c>
      <c r="C85" s="348"/>
      <c r="D85" s="346"/>
      <c r="E85" s="347"/>
      <c r="F85" s="346"/>
    </row>
    <row r="86" spans="1:6" s="315" customFormat="1" ht="15.6">
      <c r="A86" s="345" t="s">
        <v>330</v>
      </c>
      <c r="B86" s="344" t="s">
        <v>331</v>
      </c>
      <c r="C86" s="341"/>
      <c r="D86" s="339"/>
      <c r="E86" s="340"/>
      <c r="F86" s="339"/>
    </row>
    <row r="87" spans="1:6" s="315" customFormat="1" ht="15.6">
      <c r="A87" s="345" t="s">
        <v>332</v>
      </c>
      <c r="B87" s="344" t="s">
        <v>333</v>
      </c>
      <c r="C87" s="341"/>
      <c r="D87" s="341"/>
      <c r="E87" s="340"/>
      <c r="F87" s="339"/>
    </row>
    <row r="88" spans="1:6" s="315" customFormat="1" ht="18" customHeight="1">
      <c r="A88" s="345" t="s">
        <v>334</v>
      </c>
      <c r="B88" s="342" t="s">
        <v>612</v>
      </c>
      <c r="C88" s="341" t="s">
        <v>9</v>
      </c>
      <c r="D88" s="341">
        <v>8</v>
      </c>
      <c r="E88" s="340"/>
      <c r="F88" s="339">
        <f>D88*E88</f>
        <v>0</v>
      </c>
    </row>
    <row r="89" spans="1:6" s="315" customFormat="1" ht="30" customHeight="1">
      <c r="A89" s="345" t="s">
        <v>335</v>
      </c>
      <c r="B89" s="359" t="s">
        <v>611</v>
      </c>
      <c r="C89" s="341" t="s">
        <v>609</v>
      </c>
      <c r="D89" s="341">
        <v>1</v>
      </c>
      <c r="E89" s="340"/>
      <c r="F89" s="339">
        <f>D89*E89</f>
        <v>0</v>
      </c>
    </row>
    <row r="90" spans="1:6" s="315" customFormat="1" ht="21" customHeight="1">
      <c r="A90" s="345" t="s">
        <v>335</v>
      </c>
      <c r="B90" s="359" t="s">
        <v>610</v>
      </c>
      <c r="C90" s="341" t="s">
        <v>609</v>
      </c>
      <c r="D90" s="341">
        <v>3</v>
      </c>
      <c r="E90" s="340"/>
      <c r="F90" s="339">
        <f>D90*E90</f>
        <v>0</v>
      </c>
    </row>
    <row r="91" spans="1:6" s="315" customFormat="1" ht="17.399999999999999" customHeight="1">
      <c r="A91" s="338"/>
      <c r="B91" s="337" t="s">
        <v>336</v>
      </c>
      <c r="C91" s="336"/>
      <c r="D91" s="335"/>
      <c r="E91" s="334"/>
      <c r="F91" s="333">
        <f>SUM(F87:F90)</f>
        <v>0</v>
      </c>
    </row>
    <row r="92" spans="1:6" s="352" customFormat="1" ht="10.95" customHeight="1">
      <c r="A92" s="358"/>
      <c r="B92" s="357"/>
      <c r="C92" s="356"/>
      <c r="D92" s="355"/>
      <c r="E92" s="354"/>
      <c r="F92" s="353"/>
    </row>
    <row r="93" spans="1:6" s="315" customFormat="1" ht="15.6">
      <c r="A93" s="350" t="s">
        <v>73</v>
      </c>
      <c r="B93" s="349" t="s">
        <v>65</v>
      </c>
      <c r="C93" s="348"/>
      <c r="D93" s="346"/>
      <c r="E93" s="347"/>
      <c r="F93" s="346"/>
    </row>
    <row r="94" spans="1:6" s="315" customFormat="1" ht="15.6">
      <c r="A94" s="345" t="s">
        <v>144</v>
      </c>
      <c r="B94" s="344" t="s">
        <v>608</v>
      </c>
      <c r="C94" s="341"/>
      <c r="D94" s="341"/>
      <c r="E94" s="340"/>
      <c r="F94" s="339"/>
    </row>
    <row r="95" spans="1:6" s="315" customFormat="1" ht="18" customHeight="1">
      <c r="A95" s="345" t="s">
        <v>165</v>
      </c>
      <c r="B95" s="342" t="s">
        <v>607</v>
      </c>
      <c r="C95" s="341" t="s">
        <v>4</v>
      </c>
      <c r="D95" s="341">
        <f>10*3</f>
        <v>30</v>
      </c>
      <c r="E95" s="340"/>
      <c r="F95" s="339">
        <f>D95*E95</f>
        <v>0</v>
      </c>
    </row>
    <row r="96" spans="1:6" s="315" customFormat="1" ht="18" customHeight="1">
      <c r="A96" s="345" t="s">
        <v>337</v>
      </c>
      <c r="B96" s="342" t="s">
        <v>606</v>
      </c>
      <c r="C96" s="341" t="s">
        <v>4</v>
      </c>
      <c r="D96" s="341">
        <f>10*5*1</f>
        <v>50</v>
      </c>
      <c r="E96" s="340"/>
      <c r="F96" s="339">
        <f>D96*E96</f>
        <v>0</v>
      </c>
    </row>
    <row r="97" spans="1:6" s="315" customFormat="1" ht="16.95" customHeight="1">
      <c r="A97" s="338"/>
      <c r="B97" s="337" t="s">
        <v>67</v>
      </c>
      <c r="C97" s="336"/>
      <c r="D97" s="335"/>
      <c r="E97" s="334"/>
      <c r="F97" s="333">
        <f>SUM(F94:F96)</f>
        <v>0</v>
      </c>
    </row>
    <row r="98" spans="1:6" s="315" customFormat="1" ht="15">
      <c r="A98" s="338"/>
      <c r="B98" s="351"/>
      <c r="C98" s="341"/>
      <c r="D98" s="339"/>
      <c r="E98" s="340"/>
      <c r="F98" s="339"/>
    </row>
    <row r="99" spans="1:6" s="315" customFormat="1" ht="15.6">
      <c r="A99" s="350" t="s">
        <v>74</v>
      </c>
      <c r="B99" s="349" t="s">
        <v>11</v>
      </c>
      <c r="C99" s="348"/>
      <c r="D99" s="346"/>
      <c r="E99" s="347"/>
      <c r="F99" s="346"/>
    </row>
    <row r="100" spans="1:6" s="315" customFormat="1" ht="17.25" customHeight="1">
      <c r="A100" s="345" t="s">
        <v>136</v>
      </c>
      <c r="B100" s="344" t="s">
        <v>62</v>
      </c>
      <c r="C100" s="341"/>
      <c r="D100" s="341"/>
      <c r="E100" s="340"/>
      <c r="F100" s="339"/>
    </row>
    <row r="101" spans="1:6" s="315" customFormat="1" ht="15">
      <c r="A101" s="345" t="s">
        <v>166</v>
      </c>
      <c r="B101" s="342" t="s">
        <v>605</v>
      </c>
      <c r="C101" s="341" t="s">
        <v>4</v>
      </c>
      <c r="D101" s="341">
        <f>8*2*2.8+1.5*2*2.8</f>
        <v>53.199999999999996</v>
      </c>
      <c r="E101" s="340"/>
      <c r="F101" s="339">
        <f>D101*E101</f>
        <v>0</v>
      </c>
    </row>
    <row r="102" spans="1:6" s="315" customFormat="1" ht="15">
      <c r="A102" s="345" t="s">
        <v>167</v>
      </c>
      <c r="B102" s="342" t="s">
        <v>604</v>
      </c>
      <c r="C102" s="341" t="s">
        <v>4</v>
      </c>
      <c r="D102" s="341">
        <f>2*10*1</f>
        <v>20</v>
      </c>
      <c r="E102" s="340"/>
      <c r="F102" s="339">
        <f>D102*E102</f>
        <v>0</v>
      </c>
    </row>
    <row r="103" spans="1:6" s="315" customFormat="1" ht="15.6">
      <c r="A103" s="345" t="s">
        <v>168</v>
      </c>
      <c r="B103" s="344" t="s">
        <v>63</v>
      </c>
      <c r="C103" s="341"/>
      <c r="D103" s="341"/>
      <c r="E103" s="340"/>
      <c r="F103" s="339"/>
    </row>
    <row r="104" spans="1:6" s="315" customFormat="1" ht="15">
      <c r="A104" s="345" t="s">
        <v>169</v>
      </c>
      <c r="B104" s="342" t="s">
        <v>603</v>
      </c>
      <c r="C104" s="341" t="s">
        <v>4</v>
      </c>
      <c r="D104" s="341">
        <f>2*10*1.8+14*1.5*1.8</f>
        <v>73.800000000000011</v>
      </c>
      <c r="E104" s="340"/>
      <c r="F104" s="339">
        <f>D104*E104</f>
        <v>0</v>
      </c>
    </row>
    <row r="105" spans="1:6" s="315" customFormat="1" ht="15.6">
      <c r="A105" s="343" t="s">
        <v>170</v>
      </c>
      <c r="B105" s="344" t="s">
        <v>602</v>
      </c>
      <c r="C105" s="341"/>
      <c r="D105" s="341"/>
      <c r="E105" s="340"/>
      <c r="F105" s="339"/>
    </row>
    <row r="106" spans="1:6" s="315" customFormat="1" ht="15">
      <c r="A106" s="343" t="s">
        <v>171</v>
      </c>
      <c r="B106" s="342" t="s">
        <v>338</v>
      </c>
      <c r="C106" s="341" t="s">
        <v>4</v>
      </c>
      <c r="D106" s="341">
        <f>8*1.8*0.6*2</f>
        <v>17.28</v>
      </c>
      <c r="E106" s="340"/>
      <c r="F106" s="339">
        <f>D106*E106</f>
        <v>0</v>
      </c>
    </row>
    <row r="107" spans="1:6" s="315" customFormat="1" ht="16.95" customHeight="1">
      <c r="A107" s="338"/>
      <c r="B107" s="337" t="s">
        <v>58</v>
      </c>
      <c r="C107" s="336"/>
      <c r="D107" s="335"/>
      <c r="E107" s="334"/>
      <c r="F107" s="333">
        <f>SUM(F101:F106)</f>
        <v>0</v>
      </c>
    </row>
    <row r="108" spans="1:6" s="315" customFormat="1" ht="15">
      <c r="A108" s="332"/>
      <c r="B108" s="330"/>
      <c r="C108" s="330"/>
      <c r="D108" s="330"/>
      <c r="E108" s="331"/>
      <c r="F108" s="330"/>
    </row>
    <row r="109" spans="1:6" s="315" customFormat="1" ht="39" customHeight="1">
      <c r="A109" s="546" t="s">
        <v>623</v>
      </c>
      <c r="B109" s="547"/>
      <c r="C109" s="548"/>
      <c r="D109" s="329"/>
      <c r="E109" s="328"/>
      <c r="F109" s="327">
        <f>F107+F91+F83+F76+F71+F57+F53+F12+F97+F61</f>
        <v>0</v>
      </c>
    </row>
    <row r="110" spans="1:6" customFormat="1">
      <c r="E110" s="286"/>
    </row>
    <row r="111" spans="1:6" s="2" customFormat="1" ht="20.25" customHeight="1">
      <c r="A111" s="549" t="s">
        <v>371</v>
      </c>
      <c r="B111" s="550"/>
      <c r="C111" s="551"/>
      <c r="D111" s="287">
        <v>0.15</v>
      </c>
      <c r="E111" s="285"/>
      <c r="F111" s="284">
        <f>F109*D111</f>
        <v>0</v>
      </c>
    </row>
    <row r="112" spans="1:6" s="315" customFormat="1" ht="18" thickBot="1">
      <c r="A112" s="317"/>
      <c r="B112" s="317"/>
      <c r="D112" s="316"/>
      <c r="E112" s="326"/>
      <c r="F112" s="325"/>
    </row>
    <row r="113" spans="1:6" s="318" customFormat="1" ht="18" thickBot="1">
      <c r="A113" s="324"/>
      <c r="B113" s="323" t="s">
        <v>601</v>
      </c>
      <c r="C113" s="322"/>
      <c r="D113" s="321"/>
      <c r="E113" s="320"/>
      <c r="F113" s="319">
        <f>F109+F111</f>
        <v>0</v>
      </c>
    </row>
    <row r="114" spans="1:6" s="315" customFormat="1" ht="15">
      <c r="A114" s="317"/>
      <c r="B114" s="317"/>
      <c r="D114" s="316"/>
      <c r="E114" s="316"/>
      <c r="F114" s="316"/>
    </row>
  </sheetData>
  <sheetProtection selectLockedCells="1"/>
  <mergeCells count="3">
    <mergeCell ref="A3:F3"/>
    <mergeCell ref="A109:C109"/>
    <mergeCell ref="A111:C111"/>
  </mergeCells>
  <pageMargins left="0.7" right="0.7" top="0.75" bottom="0.75" header="0.3" footer="0.3"/>
  <pageSetup paperSize="9" scale="71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7DA440-FA02-45BC-B354-42A76BDB180B}">
  <dimension ref="A1:H41"/>
  <sheetViews>
    <sheetView view="pageBreakPreview" topLeftCell="A30" zoomScaleNormal="100" zoomScaleSheetLayoutView="100" workbookViewId="0">
      <selection activeCell="I41" sqref="I41"/>
    </sheetView>
  </sheetViews>
  <sheetFormatPr baseColWidth="10" defaultColWidth="8" defaultRowHeight="13.2"/>
  <cols>
    <col min="1" max="1" width="1.77734375" style="481" customWidth="1"/>
    <col min="2" max="2" width="4" style="481" customWidth="1"/>
    <col min="3" max="3" width="62.21875" style="481" customWidth="1"/>
    <col min="4" max="4" width="5" style="481" customWidth="1"/>
    <col min="5" max="5" width="7.21875" style="481" customWidth="1"/>
    <col min="6" max="6" width="12.5546875" style="481" customWidth="1"/>
    <col min="7" max="7" width="15.21875" style="481" customWidth="1"/>
    <col min="8" max="8" width="5.77734375" style="481" customWidth="1"/>
    <col min="9" max="16384" width="8" style="481"/>
  </cols>
  <sheetData>
    <row r="1" spans="1:8" s="482" customFormat="1" ht="37.5" customHeight="1" thickBot="1">
      <c r="B1" s="552" t="s">
        <v>691</v>
      </c>
      <c r="C1" s="553"/>
      <c r="D1" s="553"/>
      <c r="E1" s="553"/>
      <c r="F1" s="553"/>
      <c r="G1" s="554"/>
      <c r="H1" s="520"/>
    </row>
    <row r="2" spans="1:8" s="482" customFormat="1" ht="15.75" customHeight="1">
      <c r="A2" s="494"/>
      <c r="B2" s="517" t="s">
        <v>690</v>
      </c>
      <c r="C2" s="517" t="s">
        <v>689</v>
      </c>
      <c r="D2" s="519" t="s">
        <v>75</v>
      </c>
      <c r="E2" s="518" t="s">
        <v>688</v>
      </c>
      <c r="F2" s="517" t="s">
        <v>687</v>
      </c>
      <c r="G2" s="517" t="s">
        <v>686</v>
      </c>
      <c r="H2" s="494"/>
    </row>
    <row r="3" spans="1:8" s="482" customFormat="1" ht="15.75" customHeight="1">
      <c r="A3" s="494"/>
      <c r="B3" s="513">
        <v>1</v>
      </c>
      <c r="C3" s="508" t="s">
        <v>685</v>
      </c>
      <c r="D3" s="512"/>
      <c r="E3" s="502"/>
      <c r="F3" s="502"/>
      <c r="G3" s="502"/>
      <c r="H3" s="494"/>
    </row>
    <row r="4" spans="1:8" s="482" customFormat="1" ht="15.75" customHeight="1">
      <c r="A4" s="494"/>
      <c r="B4" s="502"/>
      <c r="C4" s="508" t="s">
        <v>684</v>
      </c>
      <c r="D4" s="505" t="s">
        <v>669</v>
      </c>
      <c r="E4" s="504">
        <v>1</v>
      </c>
      <c r="F4" s="498"/>
      <c r="G4" s="497">
        <f>E4*F4</f>
        <v>0</v>
      </c>
      <c r="H4" s="494"/>
    </row>
    <row r="5" spans="1:8" s="482" customFormat="1" ht="15.75" customHeight="1">
      <c r="A5" s="494"/>
      <c r="B5" s="513">
        <v>2</v>
      </c>
      <c r="C5" s="516" t="s">
        <v>683</v>
      </c>
      <c r="D5" s="512"/>
      <c r="E5" s="502"/>
      <c r="F5" s="502"/>
      <c r="G5" s="497"/>
      <c r="H5" s="494"/>
    </row>
    <row r="6" spans="1:8" s="482" customFormat="1" ht="15.75" customHeight="1">
      <c r="A6" s="494"/>
      <c r="B6" s="502"/>
      <c r="C6" s="508" t="s">
        <v>682</v>
      </c>
      <c r="D6" s="510" t="s">
        <v>7</v>
      </c>
      <c r="E6" s="509">
        <v>30</v>
      </c>
      <c r="F6" s="498"/>
      <c r="G6" s="497">
        <f>E6*F6</f>
        <v>0</v>
      </c>
      <c r="H6" s="494"/>
    </row>
    <row r="7" spans="1:8" s="482" customFormat="1" ht="15.75" customHeight="1">
      <c r="A7" s="494"/>
      <c r="B7" s="502"/>
      <c r="C7" s="508" t="s">
        <v>681</v>
      </c>
      <c r="D7" s="510" t="s">
        <v>7</v>
      </c>
      <c r="E7" s="509">
        <v>70</v>
      </c>
      <c r="F7" s="498"/>
      <c r="G7" s="497">
        <f>E7*F7</f>
        <v>0</v>
      </c>
      <c r="H7" s="494"/>
    </row>
    <row r="8" spans="1:8" s="482" customFormat="1" ht="15.75" customHeight="1">
      <c r="A8" s="494"/>
      <c r="B8" s="513">
        <v>3</v>
      </c>
      <c r="C8" s="516" t="s">
        <v>680</v>
      </c>
      <c r="D8" s="512"/>
      <c r="E8" s="502"/>
      <c r="F8" s="502"/>
      <c r="G8" s="497"/>
      <c r="H8" s="494"/>
    </row>
    <row r="9" spans="1:8" s="482" customFormat="1" ht="15.75" customHeight="1">
      <c r="A9" s="494"/>
      <c r="B9" s="502"/>
      <c r="C9" s="508" t="s">
        <v>679</v>
      </c>
      <c r="D9" s="510" t="s">
        <v>7</v>
      </c>
      <c r="E9" s="509">
        <v>82</v>
      </c>
      <c r="F9" s="498"/>
      <c r="G9" s="497">
        <f>E9*F9</f>
        <v>0</v>
      </c>
      <c r="H9" s="494"/>
    </row>
    <row r="10" spans="1:8" s="482" customFormat="1" ht="15.75" customHeight="1">
      <c r="A10" s="494"/>
      <c r="B10" s="502"/>
      <c r="C10" s="508" t="s">
        <v>678</v>
      </c>
      <c r="D10" s="510" t="s">
        <v>7</v>
      </c>
      <c r="E10" s="509">
        <v>18</v>
      </c>
      <c r="F10" s="498"/>
      <c r="G10" s="497">
        <f>E10*F10</f>
        <v>0</v>
      </c>
      <c r="H10" s="494"/>
    </row>
    <row r="11" spans="1:8" s="482" customFormat="1" ht="31.5" customHeight="1">
      <c r="A11" s="514"/>
      <c r="B11" s="515"/>
      <c r="C11" s="508" t="s">
        <v>677</v>
      </c>
      <c r="D11" s="510" t="s">
        <v>7</v>
      </c>
      <c r="E11" s="509">
        <v>40</v>
      </c>
      <c r="F11" s="498"/>
      <c r="G11" s="497">
        <f>E11*F11</f>
        <v>0</v>
      </c>
      <c r="H11" s="514"/>
    </row>
    <row r="12" spans="1:8" s="482" customFormat="1" ht="15.75" customHeight="1">
      <c r="A12" s="494"/>
      <c r="B12" s="502"/>
      <c r="C12" s="508" t="s">
        <v>676</v>
      </c>
      <c r="D12" s="505" t="s">
        <v>669</v>
      </c>
      <c r="E12" s="504">
        <v>1</v>
      </c>
      <c r="F12" s="498"/>
      <c r="G12" s="497">
        <f>E12*F12</f>
        <v>0</v>
      </c>
      <c r="H12" s="494"/>
    </row>
    <row r="13" spans="1:8" s="482" customFormat="1" ht="15.75" customHeight="1">
      <c r="A13" s="494"/>
      <c r="B13" s="513">
        <v>4</v>
      </c>
      <c r="C13" s="508" t="s">
        <v>675</v>
      </c>
      <c r="D13" s="512"/>
      <c r="E13" s="502"/>
      <c r="F13" s="502"/>
      <c r="G13" s="497"/>
      <c r="H13" s="494"/>
    </row>
    <row r="14" spans="1:8" s="482" customFormat="1" ht="15.75" customHeight="1">
      <c r="A14" s="494"/>
      <c r="B14" s="502"/>
      <c r="C14" s="508" t="s">
        <v>674</v>
      </c>
      <c r="D14" s="505" t="s">
        <v>669</v>
      </c>
      <c r="E14" s="504">
        <v>1</v>
      </c>
      <c r="F14" s="498"/>
      <c r="G14" s="497">
        <f>E14*F14</f>
        <v>0</v>
      </c>
      <c r="H14" s="494"/>
    </row>
    <row r="15" spans="1:8" s="482" customFormat="1" ht="15.75" customHeight="1">
      <c r="A15" s="494"/>
      <c r="B15" s="513">
        <v>5</v>
      </c>
      <c r="C15" s="508" t="s">
        <v>673</v>
      </c>
      <c r="D15" s="512"/>
      <c r="E15" s="502"/>
      <c r="F15" s="502"/>
      <c r="G15" s="497"/>
      <c r="H15" s="494"/>
    </row>
    <row r="16" spans="1:8" s="482" customFormat="1" ht="15.75" customHeight="1">
      <c r="A16" s="494"/>
      <c r="B16" s="502"/>
      <c r="C16" s="508" t="s">
        <v>672</v>
      </c>
      <c r="D16" s="505" t="s">
        <v>669</v>
      </c>
      <c r="E16" s="504">
        <v>1</v>
      </c>
      <c r="F16" s="498"/>
      <c r="G16" s="497">
        <f>E16*F16</f>
        <v>0</v>
      </c>
      <c r="H16" s="494"/>
    </row>
    <row r="17" spans="1:8" s="482" customFormat="1" ht="15.75" customHeight="1">
      <c r="A17" s="494"/>
      <c r="B17" s="513">
        <v>6</v>
      </c>
      <c r="C17" s="508" t="s">
        <v>671</v>
      </c>
      <c r="D17" s="512"/>
      <c r="E17" s="502"/>
      <c r="F17" s="502"/>
      <c r="G17" s="497"/>
      <c r="H17" s="494"/>
    </row>
    <row r="18" spans="1:8" s="482" customFormat="1" ht="27" customHeight="1">
      <c r="A18" s="494"/>
      <c r="B18" s="502"/>
      <c r="C18" s="511" t="s">
        <v>670</v>
      </c>
      <c r="D18" s="505" t="s">
        <v>669</v>
      </c>
      <c r="E18" s="504">
        <v>1</v>
      </c>
      <c r="F18" s="498"/>
      <c r="G18" s="497">
        <f t="shared" ref="G18:G25" si="0">E18*F18</f>
        <v>0</v>
      </c>
      <c r="H18" s="494"/>
    </row>
    <row r="19" spans="1:8" s="482" customFormat="1" ht="15.75" customHeight="1">
      <c r="A19" s="494"/>
      <c r="B19" s="502"/>
      <c r="C19" s="508" t="s">
        <v>668</v>
      </c>
      <c r="D19" s="505" t="s">
        <v>9</v>
      </c>
      <c r="E19" s="504">
        <v>1</v>
      </c>
      <c r="F19" s="498"/>
      <c r="G19" s="497">
        <f t="shared" si="0"/>
        <v>0</v>
      </c>
      <c r="H19" s="494"/>
    </row>
    <row r="20" spans="1:8" s="482" customFormat="1" ht="15.75" customHeight="1">
      <c r="A20" s="494"/>
      <c r="B20" s="502"/>
      <c r="C20" s="508" t="s">
        <v>667</v>
      </c>
      <c r="D20" s="505" t="s">
        <v>9</v>
      </c>
      <c r="E20" s="504">
        <v>1</v>
      </c>
      <c r="F20" s="498"/>
      <c r="G20" s="497">
        <f t="shared" si="0"/>
        <v>0</v>
      </c>
      <c r="H20" s="494"/>
    </row>
    <row r="21" spans="1:8" s="482" customFormat="1" ht="15.75" customHeight="1">
      <c r="A21" s="494"/>
      <c r="B21" s="502"/>
      <c r="C21" s="508" t="s">
        <v>666</v>
      </c>
      <c r="D21" s="510" t="s">
        <v>7</v>
      </c>
      <c r="E21" s="509">
        <v>100</v>
      </c>
      <c r="F21" s="498"/>
      <c r="G21" s="497">
        <f t="shared" si="0"/>
        <v>0</v>
      </c>
      <c r="H21" s="494"/>
    </row>
    <row r="22" spans="1:8" s="482" customFormat="1" ht="15.75" customHeight="1">
      <c r="A22" s="494"/>
      <c r="B22" s="502"/>
      <c r="C22" s="508" t="s">
        <v>665</v>
      </c>
      <c r="D22" s="510" t="s">
        <v>7</v>
      </c>
      <c r="E22" s="509">
        <v>60</v>
      </c>
      <c r="F22" s="498"/>
      <c r="G22" s="497">
        <f t="shared" si="0"/>
        <v>0</v>
      </c>
      <c r="H22" s="494"/>
    </row>
    <row r="23" spans="1:8" s="482" customFormat="1" ht="15.75" customHeight="1">
      <c r="A23" s="494"/>
      <c r="B23" s="502"/>
      <c r="C23" s="508" t="s">
        <v>664</v>
      </c>
      <c r="D23" s="505" t="s">
        <v>9</v>
      </c>
      <c r="E23" s="504">
        <v>1</v>
      </c>
      <c r="F23" s="498"/>
      <c r="G23" s="497">
        <f t="shared" si="0"/>
        <v>0</v>
      </c>
      <c r="H23" s="494"/>
    </row>
    <row r="24" spans="1:8" s="482" customFormat="1" ht="15.75" customHeight="1">
      <c r="A24" s="494"/>
      <c r="B24" s="502"/>
      <c r="C24" s="508" t="s">
        <v>663</v>
      </c>
      <c r="D24" s="505" t="s">
        <v>9</v>
      </c>
      <c r="E24" s="504">
        <v>1</v>
      </c>
      <c r="F24" s="498"/>
      <c r="G24" s="497">
        <f t="shared" si="0"/>
        <v>0</v>
      </c>
      <c r="H24" s="494"/>
    </row>
    <row r="25" spans="1:8" s="482" customFormat="1" ht="15.75" customHeight="1">
      <c r="A25" s="494"/>
      <c r="B25" s="502"/>
      <c r="C25" s="508" t="s">
        <v>662</v>
      </c>
      <c r="D25" s="507" t="s">
        <v>661</v>
      </c>
      <c r="E25" s="504">
        <v>1</v>
      </c>
      <c r="F25" s="498"/>
      <c r="G25" s="497">
        <f t="shared" si="0"/>
        <v>0</v>
      </c>
      <c r="H25" s="494"/>
    </row>
    <row r="26" spans="1:8" s="482" customFormat="1" ht="15.75" customHeight="1">
      <c r="A26" s="494"/>
      <c r="B26" s="502"/>
      <c r="C26" s="506" t="s">
        <v>660</v>
      </c>
      <c r="D26" s="505"/>
      <c r="E26" s="504"/>
      <c r="F26" s="498"/>
      <c r="G26" s="497"/>
      <c r="H26" s="494"/>
    </row>
    <row r="27" spans="1:8" s="482" customFormat="1" ht="15.75" customHeight="1">
      <c r="A27" s="494"/>
      <c r="B27" s="502"/>
      <c r="C27" s="501" t="s">
        <v>659</v>
      </c>
      <c r="D27" s="500" t="s">
        <v>7</v>
      </c>
      <c r="E27" s="499">
        <v>8</v>
      </c>
      <c r="F27" s="498"/>
      <c r="G27" s="497">
        <f t="shared" ref="G27:G33" si="1">E27*F27</f>
        <v>0</v>
      </c>
      <c r="H27" s="494"/>
    </row>
    <row r="28" spans="1:8" s="482" customFormat="1" ht="15.75" customHeight="1">
      <c r="A28" s="494"/>
      <c r="B28" s="502"/>
      <c r="C28" s="501" t="s">
        <v>658</v>
      </c>
      <c r="D28" s="500" t="s">
        <v>10</v>
      </c>
      <c r="E28" s="503">
        <f>8*0.1*0.5</f>
        <v>0.4</v>
      </c>
      <c r="F28" s="498"/>
      <c r="G28" s="497">
        <f t="shared" si="1"/>
        <v>0</v>
      </c>
      <c r="H28" s="494"/>
    </row>
    <row r="29" spans="1:8" s="482" customFormat="1" ht="15.75" customHeight="1">
      <c r="A29" s="494"/>
      <c r="B29" s="502"/>
      <c r="C29" s="501" t="s">
        <v>657</v>
      </c>
      <c r="D29" s="500" t="s">
        <v>4</v>
      </c>
      <c r="E29" s="499">
        <f>8*0.45</f>
        <v>3.6</v>
      </c>
      <c r="F29" s="498"/>
      <c r="G29" s="497">
        <f t="shared" si="1"/>
        <v>0</v>
      </c>
      <c r="H29" s="494"/>
    </row>
    <row r="30" spans="1:8" s="482" customFormat="1" ht="15.75" customHeight="1">
      <c r="A30" s="494"/>
      <c r="B30" s="502"/>
      <c r="C30" s="501" t="s">
        <v>656</v>
      </c>
      <c r="D30" s="500" t="s">
        <v>10</v>
      </c>
      <c r="E30" s="503">
        <f>8*0.2*0.15</f>
        <v>0.24</v>
      </c>
      <c r="F30" s="498"/>
      <c r="G30" s="497">
        <f t="shared" si="1"/>
        <v>0</v>
      </c>
      <c r="H30" s="494"/>
    </row>
    <row r="31" spans="1:8" s="482" customFormat="1" ht="15.75" customHeight="1">
      <c r="A31" s="494"/>
      <c r="B31" s="502"/>
      <c r="C31" s="501" t="s">
        <v>655</v>
      </c>
      <c r="D31" s="500" t="s">
        <v>4</v>
      </c>
      <c r="E31" s="499">
        <f>8*2</f>
        <v>16</v>
      </c>
      <c r="F31" s="498"/>
      <c r="G31" s="497">
        <f t="shared" si="1"/>
        <v>0</v>
      </c>
      <c r="H31" s="494"/>
    </row>
    <row r="32" spans="1:8" s="482" customFormat="1" ht="15.75" customHeight="1">
      <c r="A32" s="494"/>
      <c r="B32" s="502"/>
      <c r="C32" s="501" t="s">
        <v>654</v>
      </c>
      <c r="D32" s="500" t="s">
        <v>9</v>
      </c>
      <c r="E32" s="499">
        <v>1</v>
      </c>
      <c r="F32" s="498"/>
      <c r="G32" s="497">
        <f t="shared" si="1"/>
        <v>0</v>
      </c>
      <c r="H32" s="494"/>
    </row>
    <row r="33" spans="1:8" s="482" customFormat="1" ht="15.75" customHeight="1">
      <c r="A33" s="494"/>
      <c r="B33" s="502"/>
      <c r="C33" s="501" t="s">
        <v>653</v>
      </c>
      <c r="D33" s="500" t="s">
        <v>4</v>
      </c>
      <c r="E33" s="499">
        <f>8*2*2</f>
        <v>32</v>
      </c>
      <c r="F33" s="498"/>
      <c r="G33" s="497">
        <f t="shared" si="1"/>
        <v>0</v>
      </c>
      <c r="H33" s="494"/>
    </row>
    <row r="34" spans="1:8" s="482" customFormat="1" ht="18.75" customHeight="1">
      <c r="A34" s="494"/>
      <c r="B34" s="496">
        <v>9</v>
      </c>
      <c r="C34" s="555" t="s">
        <v>652</v>
      </c>
      <c r="D34" s="556"/>
      <c r="E34" s="556"/>
      <c r="F34" s="557"/>
      <c r="G34" s="495">
        <f>SUM(G4:G33)</f>
        <v>0</v>
      </c>
      <c r="H34" s="494"/>
    </row>
    <row r="35" spans="1:8" s="483" customFormat="1" ht="18.600000000000001" thickBot="1">
      <c r="A35" s="491"/>
      <c r="C35" s="491"/>
      <c r="D35" s="491"/>
      <c r="E35" s="490"/>
    </row>
    <row r="36" spans="1:8" s="483" customFormat="1" ht="18.75" customHeight="1" thickBot="1">
      <c r="B36" s="489"/>
      <c r="C36" s="488" t="s">
        <v>651</v>
      </c>
      <c r="D36" s="485"/>
      <c r="E36" s="493">
        <v>0.1</v>
      </c>
      <c r="F36" s="485"/>
      <c r="G36" s="484">
        <f>G34*E36</f>
        <v>0</v>
      </c>
    </row>
    <row r="37" spans="1:8" s="483" customFormat="1" ht="18.600000000000001" thickBot="1">
      <c r="A37" s="491"/>
      <c r="B37" s="492"/>
      <c r="C37" s="491"/>
      <c r="D37" s="491"/>
      <c r="E37" s="490"/>
    </row>
    <row r="38" spans="1:8" s="483" customFormat="1" ht="18.75" customHeight="1" thickBot="1">
      <c r="B38" s="489"/>
      <c r="C38" s="488" t="s">
        <v>650</v>
      </c>
      <c r="D38" s="487"/>
      <c r="E38" s="486"/>
      <c r="F38" s="485"/>
      <c r="G38" s="484">
        <f>(G34+G36)</f>
        <v>0</v>
      </c>
    </row>
    <row r="39" spans="1:8" s="482" customFormat="1" ht="60" customHeight="1">
      <c r="A39" s="558"/>
      <c r="B39" s="559"/>
      <c r="C39" s="559"/>
      <c r="D39" s="559"/>
      <c r="E39" s="559"/>
      <c r="F39" s="559"/>
      <c r="G39" s="559"/>
      <c r="H39" s="559"/>
    </row>
    <row r="40" spans="1:8" ht="18.75" customHeight="1">
      <c r="A40" s="560"/>
      <c r="B40" s="560"/>
      <c r="C40" s="560"/>
      <c r="D40" s="560"/>
      <c r="E40" s="560"/>
      <c r="F40" s="560"/>
      <c r="G40" s="560"/>
      <c r="H40" s="560"/>
    </row>
    <row r="41" spans="1:8" ht="51" customHeight="1"/>
  </sheetData>
  <mergeCells count="4">
    <mergeCell ref="B1:G1"/>
    <mergeCell ref="C34:F34"/>
    <mergeCell ref="A39:H39"/>
    <mergeCell ref="A40:H40"/>
  </mergeCells>
  <pageMargins left="0.7" right="0.7" top="0.75" bottom="0.75" header="0.3" footer="0.3"/>
  <pageSetup paperSize="9" scale="76" orientation="portrait" r:id="rId1"/>
  <colBreaks count="1" manualBreakCount="1">
    <brk id="7" max="104857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C278B2-9670-4BF1-8B14-31E724686A74}">
  <dimension ref="A2:F19"/>
  <sheetViews>
    <sheetView showGridLines="0" view="pageBreakPreview" topLeftCell="A6" zoomScale="90" zoomScaleSheetLayoutView="90" workbookViewId="0">
      <selection activeCell="I18" sqref="I18"/>
    </sheetView>
  </sheetViews>
  <sheetFormatPr baseColWidth="10" defaultColWidth="11.44140625" defaultRowHeight="15"/>
  <cols>
    <col min="1" max="1" width="8.5546875" style="390" customWidth="1"/>
    <col min="2" max="2" width="61.21875" style="232" bestFit="1" customWidth="1"/>
    <col min="3" max="3" width="8.5546875" style="2" customWidth="1"/>
    <col min="4" max="4" width="10.5546875" style="3" customWidth="1"/>
    <col min="5" max="5" width="11.21875" style="3" customWidth="1"/>
    <col min="6" max="6" width="12.77734375" style="3" customWidth="1"/>
    <col min="7" max="16384" width="11.44140625" style="2"/>
  </cols>
  <sheetData>
    <row r="2" spans="1:6">
      <c r="A2" s="410"/>
      <c r="B2" s="1"/>
    </row>
    <row r="3" spans="1:6">
      <c r="A3" s="410"/>
      <c r="B3" s="1"/>
    </row>
    <row r="4" spans="1:6" ht="24.6" customHeight="1">
      <c r="A4" s="410"/>
      <c r="B4" s="1"/>
    </row>
    <row r="5" spans="1:6" ht="40.950000000000003" customHeight="1" thickBot="1">
      <c r="A5" s="561" t="s">
        <v>630</v>
      </c>
      <c r="B5" s="562"/>
      <c r="C5" s="562"/>
      <c r="D5" s="562"/>
      <c r="E5" s="562"/>
      <c r="F5" s="563"/>
    </row>
    <row r="6" spans="1:6" s="270" customFormat="1" ht="42" thickTop="1">
      <c r="A6" s="409" t="s">
        <v>12</v>
      </c>
      <c r="B6" s="408" t="s">
        <v>8</v>
      </c>
      <c r="C6" s="407" t="s">
        <v>0</v>
      </c>
      <c r="D6" s="407" t="s">
        <v>2</v>
      </c>
      <c r="E6" s="407" t="s">
        <v>3</v>
      </c>
      <c r="F6" s="407" t="s">
        <v>1</v>
      </c>
    </row>
    <row r="7" spans="1:6">
      <c r="A7" s="283"/>
      <c r="B7" s="271"/>
      <c r="C7" s="272"/>
      <c r="D7" s="273"/>
      <c r="E7" s="273"/>
      <c r="F7" s="273"/>
    </row>
    <row r="8" spans="1:6" ht="18" customHeight="1">
      <c r="A8" s="406" t="s">
        <v>13</v>
      </c>
      <c r="B8" s="274" t="s">
        <v>629</v>
      </c>
      <c r="C8" s="275"/>
      <c r="D8" s="276"/>
      <c r="E8" s="276"/>
      <c r="F8" s="276"/>
    </row>
    <row r="9" spans="1:6" ht="31.2" customHeight="1">
      <c r="A9" s="403">
        <v>1</v>
      </c>
      <c r="B9" s="405" t="s">
        <v>632</v>
      </c>
      <c r="C9" s="282"/>
      <c r="D9" s="282"/>
      <c r="E9" s="278"/>
      <c r="F9" s="278"/>
    </row>
    <row r="10" spans="1:6" ht="18" customHeight="1">
      <c r="A10" s="403">
        <v>2</v>
      </c>
      <c r="B10" s="404" t="s">
        <v>633</v>
      </c>
      <c r="C10" s="282" t="s">
        <v>10</v>
      </c>
      <c r="D10" s="282">
        <f>20*15*0.2</f>
        <v>60</v>
      </c>
      <c r="E10" s="278"/>
      <c r="F10" s="278">
        <f>D10*E10</f>
        <v>0</v>
      </c>
    </row>
    <row r="11" spans="1:6" ht="18" customHeight="1">
      <c r="A11" s="403">
        <v>3</v>
      </c>
      <c r="B11" s="404" t="s">
        <v>628</v>
      </c>
      <c r="C11" s="282" t="s">
        <v>9</v>
      </c>
      <c r="D11" s="282">
        <v>120</v>
      </c>
      <c r="E11" s="278"/>
      <c r="F11" s="278">
        <f>D11*E11</f>
        <v>0</v>
      </c>
    </row>
    <row r="12" spans="1:6" ht="18" customHeight="1">
      <c r="A12" s="403">
        <v>4</v>
      </c>
      <c r="B12" s="402" t="s">
        <v>631</v>
      </c>
      <c r="C12" s="277" t="s">
        <v>182</v>
      </c>
      <c r="D12" s="277">
        <v>1</v>
      </c>
      <c r="E12" s="273"/>
      <c r="F12" s="278">
        <f>D12*E12</f>
        <v>0</v>
      </c>
    </row>
    <row r="13" spans="1:6" ht="18" customHeight="1">
      <c r="A13" s="403">
        <v>5</v>
      </c>
      <c r="B13" s="402" t="s">
        <v>627</v>
      </c>
      <c r="C13" s="277" t="s">
        <v>10</v>
      </c>
      <c r="D13" s="277">
        <f>20*15*0.4</f>
        <v>120</v>
      </c>
      <c r="E13" s="273"/>
      <c r="F13" s="278">
        <f>D13*E13</f>
        <v>0</v>
      </c>
    </row>
    <row r="14" spans="1:6" ht="11.55" customHeight="1">
      <c r="A14" s="401"/>
      <c r="B14" s="400"/>
      <c r="C14" s="399"/>
      <c r="D14" s="398"/>
      <c r="E14" s="398"/>
      <c r="F14" s="398"/>
    </row>
    <row r="15" spans="1:6" ht="17.399999999999999">
      <c r="A15" s="283"/>
      <c r="B15" s="397" t="s">
        <v>626</v>
      </c>
      <c r="C15" s="279"/>
      <c r="D15" s="280"/>
      <c r="E15" s="280"/>
      <c r="F15" s="281">
        <f>SUM(F9:F13)</f>
        <v>0</v>
      </c>
    </row>
    <row r="17" spans="1:6" s="391" customFormat="1" ht="15.6">
      <c r="A17" s="395"/>
      <c r="B17" s="394" t="s">
        <v>625</v>
      </c>
      <c r="D17" s="393"/>
      <c r="E17" s="393"/>
      <c r="F17" s="392">
        <v>1</v>
      </c>
    </row>
    <row r="18" spans="1:6" s="391" customFormat="1" ht="15.6">
      <c r="A18" s="395"/>
      <c r="B18" s="396"/>
      <c r="D18" s="393"/>
      <c r="E18" s="393"/>
      <c r="F18" s="393"/>
    </row>
    <row r="19" spans="1:6" s="391" customFormat="1" ht="15.6">
      <c r="A19" s="395"/>
      <c r="B19" s="394" t="s">
        <v>624</v>
      </c>
      <c r="D19" s="393"/>
      <c r="E19" s="393"/>
      <c r="F19" s="392">
        <f>F15*F17</f>
        <v>0</v>
      </c>
    </row>
  </sheetData>
  <mergeCells count="1">
    <mergeCell ref="A5:F5"/>
  </mergeCells>
  <pageMargins left="0.7" right="0.7" top="0.75" bottom="0.75" header="0.3" footer="0.3"/>
  <pageSetup paperSize="9" scale="57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71ABA0-662B-4CF1-A48D-25DCAF1FFDBD}">
  <dimension ref="A1:B19"/>
  <sheetViews>
    <sheetView tabSelected="1" view="pageBreakPreview" topLeftCell="A3" zoomScale="90" zoomScaleNormal="100" zoomScaleSheetLayoutView="90" workbookViewId="0">
      <selection activeCell="D15" sqref="D15"/>
    </sheetView>
  </sheetViews>
  <sheetFormatPr baseColWidth="10" defaultRowHeight="14.4"/>
  <cols>
    <col min="1" max="1" width="68.77734375" style="231" customWidth="1"/>
    <col min="2" max="2" width="23.77734375" customWidth="1"/>
  </cols>
  <sheetData>
    <row r="1" spans="1:2" ht="88.95" customHeight="1" thickBot="1">
      <c r="A1" s="564"/>
      <c r="B1" s="564"/>
    </row>
    <row r="2" spans="1:2" ht="4.95" hidden="1" customHeight="1" thickBot="1"/>
    <row r="3" spans="1:2" s="29" customFormat="1" ht="25.5" customHeight="1">
      <c r="A3" s="565" t="s">
        <v>692</v>
      </c>
      <c r="B3" s="566"/>
    </row>
    <row r="4" spans="1:2" s="29" customFormat="1" ht="12.75" customHeight="1">
      <c r="A4" s="254"/>
      <c r="B4" s="255"/>
    </row>
    <row r="5" spans="1:2" s="29" customFormat="1" ht="15">
      <c r="A5" s="106"/>
      <c r="B5" s="259"/>
    </row>
    <row r="6" spans="1:2" s="29" customFormat="1" ht="27.6" customHeight="1">
      <c r="A6" s="258" t="s">
        <v>599</v>
      </c>
      <c r="B6" s="261">
        <f>'REHA EPP BROUKRO'!F395</f>
        <v>0</v>
      </c>
    </row>
    <row r="7" spans="1:2" s="29" customFormat="1" ht="15">
      <c r="A7" s="106"/>
      <c r="B7" s="259"/>
    </row>
    <row r="8" spans="1:2" s="29" customFormat="1" ht="27.6" customHeight="1">
      <c r="A8" s="258" t="s">
        <v>280</v>
      </c>
      <c r="B8" s="261">
        <f>'DQE 3 cls + bureau '!F123</f>
        <v>0</v>
      </c>
    </row>
    <row r="9" spans="1:2" s="29" customFormat="1" ht="24" customHeight="1">
      <c r="A9" s="106"/>
      <c r="B9" s="260"/>
    </row>
    <row r="10" spans="1:2" s="29" customFormat="1" ht="27.6" customHeight="1">
      <c r="A10" s="107" t="s">
        <v>281</v>
      </c>
      <c r="B10" s="108">
        <f>'DQE cantine'!E134</f>
        <v>0</v>
      </c>
    </row>
    <row r="11" spans="1:2" s="29" customFormat="1" ht="18.600000000000001" customHeight="1">
      <c r="A11" s="110"/>
      <c r="B11" s="109"/>
    </row>
    <row r="12" spans="1:2" s="29" customFormat="1" ht="27.6" customHeight="1">
      <c r="A12" s="107" t="s">
        <v>693</v>
      </c>
      <c r="B12" s="108">
        <f>'Réhabilitatio latrine 8 cabines'!F113</f>
        <v>0</v>
      </c>
    </row>
    <row r="13" spans="1:2" s="29" customFormat="1" ht="18.600000000000001" customHeight="1">
      <c r="A13" s="110"/>
      <c r="B13" s="109"/>
    </row>
    <row r="14" spans="1:2" s="29" customFormat="1" ht="18.600000000000001" customHeight="1">
      <c r="A14" s="107" t="s">
        <v>698</v>
      </c>
      <c r="B14" s="108">
        <f>'DQE Forage à énergie solaire'!G38</f>
        <v>0</v>
      </c>
    </row>
    <row r="15" spans="1:2" s="29" customFormat="1" ht="18.600000000000001" customHeight="1">
      <c r="A15" s="110"/>
      <c r="B15" s="109"/>
    </row>
    <row r="16" spans="1:2" s="29" customFormat="1" ht="27.6" customHeight="1">
      <c r="A16" s="107" t="s">
        <v>634</v>
      </c>
      <c r="B16" s="108">
        <f>' aménagement aire de jeux'!F19</f>
        <v>0</v>
      </c>
    </row>
    <row r="17" spans="1:2" s="29" customFormat="1" ht="18.600000000000001" customHeight="1" thickBot="1">
      <c r="A17" s="110"/>
      <c r="B17" s="109"/>
    </row>
    <row r="18" spans="1:2" s="29" customFormat="1" ht="25.2" customHeight="1" thickBot="1">
      <c r="A18" s="256" t="s">
        <v>355</v>
      </c>
      <c r="B18" s="257">
        <f>B6+B8+B10+B12+B16</f>
        <v>0</v>
      </c>
    </row>
    <row r="19" spans="1:2" s="29" customFormat="1" ht="15.6">
      <c r="A19" s="105"/>
      <c r="B19" s="103"/>
    </row>
  </sheetData>
  <sheetProtection selectLockedCells="1"/>
  <mergeCells count="2">
    <mergeCell ref="A1:B1"/>
    <mergeCell ref="A3:B3"/>
  </mergeCells>
  <pageMargins left="0.7" right="0.7" top="0.75" bottom="0.75" header="0.3" footer="0.3"/>
  <pageSetup paperSize="9" scale="8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7</vt:i4>
      </vt:variant>
      <vt:variant>
        <vt:lpstr>Plages nommées</vt:lpstr>
      </vt:variant>
      <vt:variant>
        <vt:i4>7</vt:i4>
      </vt:variant>
    </vt:vector>
  </HeadingPairs>
  <TitlesOfParts>
    <vt:vector size="14" baseType="lpstr">
      <vt:lpstr>REHA EPP BROUKRO</vt:lpstr>
      <vt:lpstr>DQE 3 cls + bureau </vt:lpstr>
      <vt:lpstr>DQE cantine</vt:lpstr>
      <vt:lpstr>Réhabilitatio latrine 8 cabines</vt:lpstr>
      <vt:lpstr>DQE Forage à énergie solaire</vt:lpstr>
      <vt:lpstr> aménagement aire de jeux</vt:lpstr>
      <vt:lpstr>Recap</vt:lpstr>
      <vt:lpstr>' aménagement aire de jeux'!Zone_d_impression</vt:lpstr>
      <vt:lpstr>'DQE 3 cls + bureau '!Zone_d_impression</vt:lpstr>
      <vt:lpstr>'DQE cantine'!Zone_d_impression</vt:lpstr>
      <vt:lpstr>'DQE Forage à énergie solaire'!Zone_d_impression</vt:lpstr>
      <vt:lpstr>Recap!Zone_d_impression</vt:lpstr>
      <vt:lpstr>'REHA EPP BROUKRO'!Zone_d_impression</vt:lpstr>
      <vt:lpstr>'Réhabilitatio latrine 8 cabines'!Zone_d_impression</vt:lpstr>
    </vt:vector>
  </TitlesOfParts>
  <Company>PRIVEE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SIEHI  RGER</dc:creator>
  <cp:lastModifiedBy>Lasme Jean Francois Michel ESSO</cp:lastModifiedBy>
  <cp:lastPrinted>2024-12-12T18:39:48Z</cp:lastPrinted>
  <dcterms:created xsi:type="dcterms:W3CDTF">2007-12-03T22:12:12Z</dcterms:created>
  <dcterms:modified xsi:type="dcterms:W3CDTF">2024-12-17T19:13:59Z</dcterms:modified>
</cp:coreProperties>
</file>