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lcocoainitiative-my.sharepoint.com/personal/l_esso_cocoainitiative_org/Documents/Documents/DAO 2025/"/>
    </mc:Choice>
  </mc:AlternateContent>
  <xr:revisionPtr revIDLastSave="7" documentId="8_{2C8CBA8B-9A4D-41C0-8264-35EEF9833FCF}" xr6:coauthVersionLast="47" xr6:coauthVersionMax="47" xr10:uidLastSave="{AA4EF945-F46E-469A-B50A-712C53391D1C}"/>
  <bookViews>
    <workbookView xWindow="-108" yWindow="-108" windowWidth="23256" windowHeight="12576" tabRatio="961" activeTab="2" xr2:uid="{00000000-000D-0000-FFFF-FFFF00000000}"/>
  </bookViews>
  <sheets>
    <sheet name="DQE 3 cls" sheetId="50" r:id="rId1"/>
    <sheet name="DQE cantine" sheetId="37" r:id="rId2"/>
    <sheet name="Recap" sheetId="39" r:id="rId3"/>
  </sheets>
  <definedNames>
    <definedName name="capinit" localSheetId="0">#REF!</definedName>
    <definedName name="capinit">#REF!</definedName>
    <definedName name="Cf">#REF!</definedName>
    <definedName name="cgp">#REF!</definedName>
    <definedName name="coeff_mult">#REF!</definedName>
    <definedName name="dos.BP">#REF!</definedName>
    <definedName name="Dos.CH">#REF!</definedName>
    <definedName name="Dos.dallage">#REF!</definedName>
    <definedName name="Dos.DP">#REF!</definedName>
    <definedName name="Dos.LT">#REF!</definedName>
    <definedName name="Dos.Pot">#REF!</definedName>
    <definedName name="Dos.Pout">#REF!</definedName>
    <definedName name="Dos.Raid">#REF!</definedName>
    <definedName name="DOS.SEMFIL">#REF!</definedName>
    <definedName name="DOS.SEMISOL">#REF!</definedName>
    <definedName name="EI">#REF!</definedName>
    <definedName name="épr.BP">#REF!</definedName>
    <definedName name="épr.dallage">#REF!</definedName>
    <definedName name="épr.enduit">#REF!</definedName>
    <definedName name="Esp.pose">#REF!</definedName>
    <definedName name="EX">#REF!</definedName>
    <definedName name="Haut.CH">#REF!</definedName>
    <definedName name="HC">#REF!</definedName>
    <definedName name="HM">#REF!</definedName>
    <definedName name="Larg.Agg">#REF!</definedName>
    <definedName name="Larg.BP">#REF!</definedName>
    <definedName name="Larg.CH">#REF!</definedName>
    <definedName name="Larg.F">#REF!</definedName>
    <definedName name="LTC">#REF!</definedName>
    <definedName name="LTF">#REF!</definedName>
    <definedName name="LTM">#REF!</definedName>
    <definedName name="LTMP">#REF!</definedName>
    <definedName name="MAC">#REF!</definedName>
    <definedName name="Nbre.plac">#REF!</definedName>
    <definedName name="Nbre.pose">#REF!</definedName>
    <definedName name="Nombre">#REF!</definedName>
    <definedName name="nombremag">#REF!</definedName>
    <definedName name="PF">#REF!</definedName>
    <definedName name="sortes">#REF!</definedName>
    <definedName name="Surf.fen">#REF!</definedName>
    <definedName name="Surf.Loc">#REF!</definedName>
    <definedName name="Surf.plac">#REF!</definedName>
    <definedName name="Surf.plaf">#REF!</definedName>
    <definedName name="Surf.port">#REF!</definedName>
    <definedName name="Surf.vides">#REF!</definedName>
    <definedName name="Surf.VMP">#REF!</definedName>
    <definedName name="Type.Toiture">#REF!</definedName>
    <definedName name="types">#REF!</definedName>
    <definedName name="_xlnm.Print_Area" localSheetId="0">'DQE 3 cls'!$A$1:$F$115</definedName>
    <definedName name="_xlnm.Print_Area" localSheetId="1">'DQE cantine'!$A$1:$F$134</definedName>
    <definedName name="_xlnm.Print_Area" localSheetId="2">Recap!$A$1:$B$11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0" l="1"/>
  <c r="F12" i="50" l="1"/>
  <c r="F14" i="50" s="1"/>
  <c r="F13" i="50"/>
  <c r="D19" i="50"/>
  <c r="D27" i="50" s="1"/>
  <c r="F27" i="50" s="1"/>
  <c r="D20" i="50"/>
  <c r="F20" i="50" s="1"/>
  <c r="D21" i="50"/>
  <c r="F21" i="50" s="1"/>
  <c r="D22" i="50"/>
  <c r="F22" i="50" s="1"/>
  <c r="D28" i="50"/>
  <c r="F28" i="50"/>
  <c r="D31" i="50"/>
  <c r="F31" i="50"/>
  <c r="D32" i="50"/>
  <c r="F32" i="50"/>
  <c r="D34" i="50"/>
  <c r="F34" i="50" s="1"/>
  <c r="D35" i="50"/>
  <c r="F35" i="50"/>
  <c r="D36" i="50"/>
  <c r="F36" i="50"/>
  <c r="D38" i="50"/>
  <c r="F38" i="50"/>
  <c r="D39" i="50"/>
  <c r="F39" i="50"/>
  <c r="D41" i="50"/>
  <c r="F41" i="50"/>
  <c r="D46" i="50"/>
  <c r="D43" i="50" s="1"/>
  <c r="F48" i="50"/>
  <c r="F49" i="50"/>
  <c r="F50" i="50"/>
  <c r="D52" i="50"/>
  <c r="F52" i="50" s="1"/>
  <c r="D53" i="50"/>
  <c r="F53" i="50"/>
  <c r="D54" i="50"/>
  <c r="F54" i="50"/>
  <c r="D55" i="50"/>
  <c r="F55" i="50" s="1"/>
  <c r="D56" i="50"/>
  <c r="D57" i="50" s="1"/>
  <c r="F57" i="50" s="1"/>
  <c r="F56" i="50"/>
  <c r="F59" i="50"/>
  <c r="F60" i="50"/>
  <c r="D67" i="50"/>
  <c r="F67" i="50"/>
  <c r="F68" i="50"/>
  <c r="D74" i="50"/>
  <c r="F74" i="50"/>
  <c r="F79" i="50" s="1"/>
  <c r="F76" i="50"/>
  <c r="D78" i="50"/>
  <c r="F78" i="50"/>
  <c r="F84" i="50"/>
  <c r="F85" i="50"/>
  <c r="F90" i="50"/>
  <c r="F91" i="50"/>
  <c r="F93" i="50"/>
  <c r="D99" i="50"/>
  <c r="F99" i="50"/>
  <c r="D100" i="50"/>
  <c r="F100" i="50" s="1"/>
  <c r="D102" i="50"/>
  <c r="F102" i="50"/>
  <c r="D104" i="50"/>
  <c r="F104" i="50"/>
  <c r="D106" i="50"/>
  <c r="F106" i="50"/>
  <c r="D107" i="50"/>
  <c r="F107" i="50" s="1"/>
  <c r="F46" i="50" l="1"/>
  <c r="F69" i="50"/>
  <c r="D26" i="50"/>
  <c r="F26" i="50" s="1"/>
  <c r="F108" i="50"/>
  <c r="D30" i="50"/>
  <c r="F30" i="50" s="1"/>
  <c r="D29" i="50"/>
  <c r="D40" i="50" s="1"/>
  <c r="F40" i="50" s="1"/>
  <c r="F94" i="50"/>
  <c r="F43" i="50"/>
  <c r="D44" i="50"/>
  <c r="F44" i="50" s="1"/>
  <c r="F23" i="50"/>
  <c r="F29" i="50"/>
  <c r="F61" i="50" l="1"/>
  <c r="F62" i="50" s="1"/>
  <c r="F110" i="50" s="1"/>
  <c r="F112" i="50" s="1"/>
  <c r="F114" i="50" s="1"/>
  <c r="B6" i="39" s="1"/>
  <c r="B10" i="39" s="1"/>
  <c r="D36" i="37" l="1"/>
  <c r="D35" i="37"/>
  <c r="F35" i="37" s="1"/>
  <c r="D127" i="37" l="1"/>
  <c r="F127" i="37" s="1"/>
  <c r="D124" i="37"/>
  <c r="F124" i="37" s="1"/>
  <c r="D122" i="37"/>
  <c r="F122" i="37" s="1"/>
  <c r="D121" i="37"/>
  <c r="F121" i="37" s="1"/>
  <c r="F116" i="37"/>
  <c r="F115" i="37"/>
  <c r="F110" i="37"/>
  <c r="F108" i="37"/>
  <c r="F107" i="37"/>
  <c r="D100" i="37"/>
  <c r="F100" i="37" s="1"/>
  <c r="D99" i="37"/>
  <c r="D125" i="37" s="1"/>
  <c r="F125" i="37" s="1"/>
  <c r="F95" i="37"/>
  <c r="F96" i="37" s="1"/>
  <c r="D90" i="37"/>
  <c r="F90" i="37" s="1"/>
  <c r="F88" i="37"/>
  <c r="D86" i="37"/>
  <c r="F86" i="37" s="1"/>
  <c r="F80" i="37"/>
  <c r="F81" i="37" s="1"/>
  <c r="D80" i="37"/>
  <c r="F63" i="37"/>
  <c r="F61" i="37"/>
  <c r="F59" i="37"/>
  <c r="F56" i="37"/>
  <c r="F55" i="37"/>
  <c r="D50" i="37"/>
  <c r="F50" i="37" s="1"/>
  <c r="D49" i="37"/>
  <c r="D51" i="37" s="1"/>
  <c r="F51" i="37" s="1"/>
  <c r="F43" i="37"/>
  <c r="D41" i="37"/>
  <c r="D42" i="37" s="1"/>
  <c r="F42" i="37" s="1"/>
  <c r="D39" i="37"/>
  <c r="D54" i="37" s="1"/>
  <c r="F54" i="37" s="1"/>
  <c r="F36" i="37"/>
  <c r="D33" i="37"/>
  <c r="F33" i="37" s="1"/>
  <c r="D30" i="37"/>
  <c r="D45" i="37" s="1"/>
  <c r="D26" i="37"/>
  <c r="D27" i="37" s="1"/>
  <c r="F27" i="37" s="1"/>
  <c r="D23" i="37"/>
  <c r="D24" i="37" s="1"/>
  <c r="F24" i="37" s="1"/>
  <c r="D17" i="37"/>
  <c r="F17" i="37" s="1"/>
  <c r="D16" i="37"/>
  <c r="F16" i="37" s="1"/>
  <c r="D15" i="37"/>
  <c r="F15" i="37" s="1"/>
  <c r="F18" i="37" s="1"/>
  <c r="F10" i="37"/>
  <c r="F9" i="37"/>
  <c r="F8" i="37"/>
  <c r="F111" i="37" l="1"/>
  <c r="D31" i="37"/>
  <c r="F31" i="37" s="1"/>
  <c r="F49" i="37"/>
  <c r="F117" i="37"/>
  <c r="F23" i="37"/>
  <c r="F11" i="37"/>
  <c r="F99" i="37"/>
  <c r="F102" i="37" s="1"/>
  <c r="D47" i="37"/>
  <c r="F47" i="37" s="1"/>
  <c r="F45" i="37"/>
  <c r="D46" i="37"/>
  <c r="F46" i="37" s="1"/>
  <c r="F128" i="37"/>
  <c r="F91" i="37"/>
  <c r="F26" i="37"/>
  <c r="F39" i="37"/>
  <c r="F41" i="37"/>
  <c r="D32" i="37"/>
  <c r="F32" i="37" s="1"/>
  <c r="D28" i="37"/>
  <c r="F28" i="37" s="1"/>
  <c r="F30" i="37"/>
  <c r="F74" i="37" l="1"/>
  <c r="F76" i="37" s="1"/>
  <c r="F130" i="37" s="1"/>
  <c r="F132" i="37" l="1"/>
  <c r="E134" i="37" s="1"/>
  <c r="B8" i="39" s="1"/>
</calcChain>
</file>

<file path=xl/sharedStrings.xml><?xml version="1.0" encoding="utf-8"?>
<sst xmlns="http://schemas.openxmlformats.org/spreadsheetml/2006/main" count="493" uniqueCount="322">
  <si>
    <t>Unité</t>
  </si>
  <si>
    <t>Montant du marché</t>
  </si>
  <si>
    <t>Quantité du marché</t>
  </si>
  <si>
    <t>Prix unitaire du marché</t>
  </si>
  <si>
    <t>m²</t>
  </si>
  <si>
    <t>1.2</t>
  </si>
  <si>
    <t>2.3</t>
  </si>
  <si>
    <t>ml</t>
  </si>
  <si>
    <t xml:space="preserve">Désignation des Travaux </t>
  </si>
  <si>
    <t>u</t>
  </si>
  <si>
    <t>m3</t>
  </si>
  <si>
    <t>PEINTURE</t>
  </si>
  <si>
    <t>N° d'ordre</t>
  </si>
  <si>
    <t>LOT 1</t>
  </si>
  <si>
    <t>LOT 2</t>
  </si>
  <si>
    <t>GROS-ŒUVRE</t>
  </si>
  <si>
    <t>2.2.</t>
  </si>
  <si>
    <t>2.2.1</t>
  </si>
  <si>
    <t>LOT 3</t>
  </si>
  <si>
    <t>FONDATION</t>
  </si>
  <si>
    <t xml:space="preserve">         * Béton</t>
  </si>
  <si>
    <t xml:space="preserve">         * Coffrage 12 m2/m3</t>
  </si>
  <si>
    <t xml:space="preserve">         * Aciers Tors HA 80 kg/m3</t>
  </si>
  <si>
    <t>kg</t>
  </si>
  <si>
    <t>2.2.2</t>
  </si>
  <si>
    <t>ELEVATION</t>
  </si>
  <si>
    <t>2.2.2.1</t>
  </si>
  <si>
    <t>2.2.2.5</t>
  </si>
  <si>
    <t>2.2.2.7</t>
  </si>
  <si>
    <t>2.2.2.8</t>
  </si>
  <si>
    <t>2.3.1</t>
  </si>
  <si>
    <t>2.3.2</t>
  </si>
  <si>
    <t>2.3.2.5</t>
  </si>
  <si>
    <t xml:space="preserve"> ENDUITS</t>
  </si>
  <si>
    <t>OUVRAGES DIVERS</t>
  </si>
  <si>
    <t>Marches d'escalier</t>
  </si>
  <si>
    <t xml:space="preserve">Rampe </t>
  </si>
  <si>
    <t>Sous-total Maçonnerie béton armé</t>
  </si>
  <si>
    <t>TOTAL GROS-ŒUVRES</t>
  </si>
  <si>
    <t>CHARPENTE</t>
  </si>
  <si>
    <t>TOTAL CHARPENTE</t>
  </si>
  <si>
    <t>LOT 4</t>
  </si>
  <si>
    <t>COUVERTURE</t>
  </si>
  <si>
    <t>GENERALITES</t>
  </si>
  <si>
    <t xml:space="preserve">Couverture </t>
  </si>
  <si>
    <t>Bardage</t>
  </si>
  <si>
    <t>TOTAL COUVERTURE</t>
  </si>
  <si>
    <t>LOT 5</t>
  </si>
  <si>
    <t>ETANCHEITE</t>
  </si>
  <si>
    <t>5.1</t>
  </si>
  <si>
    <t>5.1.1</t>
  </si>
  <si>
    <t>Etanchéité des couvertures tôle</t>
  </si>
  <si>
    <t>TOTAL ETANCHEITE</t>
  </si>
  <si>
    <t>LOT 6</t>
  </si>
  <si>
    <t>LOT 8</t>
  </si>
  <si>
    <t>SERRURERIE</t>
  </si>
  <si>
    <t>TOTAL SERRURERIE</t>
  </si>
  <si>
    <t>Peinture glycero sur ouvrages metalliques</t>
  </si>
  <si>
    <t>TOTAL PEINTURE</t>
  </si>
  <si>
    <t xml:space="preserve"> - Vinyl sur murs extérieurs  et claustras 2 couches</t>
  </si>
  <si>
    <t xml:space="preserve"> - Vinyl sur murs intérieurs  et claustras 2 couches</t>
  </si>
  <si>
    <t xml:space="preserve">         * Aciers Tors HA 70 kg/m3</t>
  </si>
  <si>
    <t xml:space="preserve"> Peinture extérieure</t>
  </si>
  <si>
    <t xml:space="preserve"> Peinture intérieure</t>
  </si>
  <si>
    <t>Rampe d'accès</t>
  </si>
  <si>
    <t>REVETMENT DUR</t>
  </si>
  <si>
    <t>sol et faîence</t>
  </si>
  <si>
    <t xml:space="preserve">TOTAL REVETEMENT </t>
  </si>
  <si>
    <t>1.1</t>
  </si>
  <si>
    <t>1.3</t>
  </si>
  <si>
    <t>DESIGNATION</t>
  </si>
  <si>
    <t>CHARPENTE BOIS</t>
  </si>
  <si>
    <t>LOT 7</t>
  </si>
  <si>
    <t>LOT 9</t>
  </si>
  <si>
    <t>U</t>
  </si>
  <si>
    <t>QTE</t>
  </si>
  <si>
    <t>PRIX UNITAIRE</t>
  </si>
  <si>
    <t>P. TOTAL</t>
  </si>
  <si>
    <t>2.1</t>
  </si>
  <si>
    <t xml:space="preserve"> TERRASSEMENTS PARTICULIERS</t>
  </si>
  <si>
    <t>2.1.1.</t>
  </si>
  <si>
    <t>2.1.2.</t>
  </si>
  <si>
    <t xml:space="preserve"> - Remblai des fouilles</t>
  </si>
  <si>
    <t>2.1.3.</t>
  </si>
  <si>
    <t xml:space="preserve"> - Remblai  sous dallage </t>
  </si>
  <si>
    <t>2.2.1.1</t>
  </si>
  <si>
    <t xml:space="preserve"> - Béton de propreté EP = 0,05 dosé à 150 kg/m3</t>
  </si>
  <si>
    <t>2.2.1.2</t>
  </si>
  <si>
    <t>2.2.1.3</t>
  </si>
  <si>
    <t>2.2.1.4</t>
  </si>
  <si>
    <t>2.2.1.5</t>
  </si>
  <si>
    <t>2.2.1.6</t>
  </si>
  <si>
    <t xml:space="preserve">         * Film polyane sous dallage</t>
  </si>
  <si>
    <t>2.2.1.7</t>
  </si>
  <si>
    <t xml:space="preserve"> - Drain en briques </t>
  </si>
  <si>
    <t xml:space="preserve">         * Gravier roulé séléctionné ép=20 cm</t>
  </si>
  <si>
    <t xml:space="preserve">         * Sable ép=10 cm</t>
  </si>
  <si>
    <t xml:space="preserve"> - Raidisseur et poteaux en béton armé dosé à 350 kg/m3</t>
  </si>
  <si>
    <t xml:space="preserve"> - Chaînage haut et linteaux dosés à 350 kg/m3</t>
  </si>
  <si>
    <t xml:space="preserve">         * Coffrage 2 m2/m3</t>
  </si>
  <si>
    <t>2.2.2.6</t>
  </si>
  <si>
    <t xml:space="preserve"> - Couronnement des murs et pignons </t>
  </si>
  <si>
    <t xml:space="preserve">CLAUSTRAS </t>
  </si>
  <si>
    <r>
      <t>m</t>
    </r>
    <r>
      <rPr>
        <vertAlign val="superscript"/>
        <sz val="12"/>
        <rFont val="Calibri"/>
        <family val="2"/>
      </rPr>
      <t>2</t>
    </r>
  </si>
  <si>
    <t xml:space="preserve"> - Fouilles en rigole </t>
  </si>
  <si>
    <t xml:space="preserve"> - Agglos pleins de 15 d'épaisseur</t>
  </si>
  <si>
    <t xml:space="preserve"> - Remblai  sous dalle de la rampe</t>
  </si>
  <si>
    <t>2.3.3</t>
  </si>
  <si>
    <t>2.3.3.1</t>
  </si>
  <si>
    <t>2.3.3.2</t>
  </si>
  <si>
    <t>2.3.3.3</t>
  </si>
  <si>
    <t>2.3.4</t>
  </si>
  <si>
    <t>2.3.4.2</t>
  </si>
  <si>
    <t>Tableau en ciment</t>
  </si>
  <si>
    <t>SOUS/TOTAL  maçonnerie et béton armé</t>
  </si>
  <si>
    <t>3.1</t>
  </si>
  <si>
    <t>CHARPENTE BOIS  ASSEMBLE ET TRAITE</t>
  </si>
  <si>
    <t>3.1.1</t>
  </si>
  <si>
    <t>3.1.2</t>
  </si>
  <si>
    <t>Charpente en bois assamblée et traitée</t>
  </si>
  <si>
    <t>3.1.3</t>
  </si>
  <si>
    <t>Ferrure métallique de fixation des fermes</t>
  </si>
  <si>
    <t>4.1</t>
  </si>
  <si>
    <t>4.1.1</t>
  </si>
  <si>
    <t>4.1.2</t>
  </si>
  <si>
    <t>Faitiere crantée.</t>
  </si>
  <si>
    <t>4.1.2.1</t>
  </si>
  <si>
    <t>4.1.3</t>
  </si>
  <si>
    <t>4.1.3.1</t>
  </si>
  <si>
    <t>Bardage en tôle</t>
  </si>
  <si>
    <t xml:space="preserve">ens </t>
  </si>
  <si>
    <t>7.1</t>
  </si>
  <si>
    <t>7.2</t>
  </si>
  <si>
    <t xml:space="preserve">Portes metalliques tolées sur 1 faces </t>
  </si>
  <si>
    <t>Portes metalliques tolées sur 1 faces pour placards</t>
  </si>
  <si>
    <r>
      <t xml:space="preserve"> Peinture ext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</si>
  <si>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soubassement et parties courantes</t>
    </r>
  </si>
  <si>
    <r>
      <t xml:space="preserve"> Peinture int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</si>
  <si>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t>Peinture glycero sur ouvrages bois et  metalliques</t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</si>
  <si>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menuiserie bois, portes metalliques et grilles anti vol</t>
    </r>
  </si>
  <si>
    <t>Ardoisine en 2 couches sur tableau en ciment</t>
  </si>
  <si>
    <t>Claustras de 22 x 22x20, type BAD (dimension 250 cm x 110 cm) 3 par salle</t>
  </si>
  <si>
    <t>9.1</t>
  </si>
  <si>
    <t>4.1.1.1</t>
  </si>
  <si>
    <t xml:space="preserve"> TRAVAUX PRELIMINAIRES</t>
  </si>
  <si>
    <t xml:space="preserve">LOT 1 </t>
  </si>
  <si>
    <t>GROS OEUVRES</t>
  </si>
  <si>
    <t xml:space="preserve">ELEVATION </t>
  </si>
  <si>
    <t>2.2.2.3</t>
  </si>
  <si>
    <t>2.3.3.4</t>
  </si>
  <si>
    <t>Construction d'escaliers existants</t>
  </si>
  <si>
    <t xml:space="preserve"> TOTAL Gros Oeuvres</t>
  </si>
  <si>
    <t>TOTAL Charpente Bois</t>
  </si>
  <si>
    <t>TOTAL Travaux Preliminaires</t>
  </si>
  <si>
    <t>TOTAL  des Terrassements</t>
  </si>
  <si>
    <t>TOTAL Couverture</t>
  </si>
  <si>
    <r>
      <t>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</si>
  <si>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TOTAL Serrurerie</t>
  </si>
  <si>
    <t>TOTAL Peinture</t>
  </si>
  <si>
    <t>Couverture en tole bac aluzinc</t>
  </si>
  <si>
    <t>Etanchéité Toiture sur les têtes des tire-fonds</t>
  </si>
  <si>
    <t>7.1.1</t>
  </si>
  <si>
    <t>7.2.1</t>
  </si>
  <si>
    <t>9.1.1</t>
  </si>
  <si>
    <t xml:space="preserve">FONDATION </t>
  </si>
  <si>
    <t xml:space="preserve"> MACONNERIE </t>
  </si>
  <si>
    <t xml:space="preserve">Implantation des bâtiments </t>
  </si>
  <si>
    <t>Installation de chantier</t>
  </si>
  <si>
    <t>forfait</t>
  </si>
  <si>
    <t xml:space="preserve">         * Enduits ext. dosés à 250 kg/m3 sur maçonnerie</t>
  </si>
  <si>
    <t xml:space="preserve"> - Béton armé pour semelle filante dosé à 350 kg/m3</t>
  </si>
  <si>
    <t xml:space="preserve">         * Enduits int. dosés à 250 kg/m3 sur maçonnerie</t>
  </si>
  <si>
    <t xml:space="preserve"> - Agglos pleins de 15 cm en brique classique</t>
  </si>
  <si>
    <t>TRAVAUX PRELIMINAIRES</t>
  </si>
  <si>
    <t>ff</t>
  </si>
  <si>
    <t>TOTAL TRAVAUX PRELIMINAIRES</t>
  </si>
  <si>
    <t>TERRASSEMENTS PARTICULIERS</t>
  </si>
  <si>
    <t>Remblai provenant des fouilles</t>
  </si>
  <si>
    <t xml:space="preserve">Remblai  sous dallage </t>
  </si>
  <si>
    <t>Sous-total Terrassement particuliers</t>
  </si>
  <si>
    <t>MACONNERIE BETON ARME</t>
  </si>
  <si>
    <t>Semelle filante EP = 20 cm dosé à 200 kg/m3</t>
  </si>
  <si>
    <t>2.2.1.2.1</t>
  </si>
  <si>
    <t>2.2.1.3.2</t>
  </si>
  <si>
    <t>Amorce des poteaux en BA dosé à 3000 kg/m3</t>
  </si>
  <si>
    <t>2.2.1.3.1</t>
  </si>
  <si>
    <t>2.2.1.3.3</t>
  </si>
  <si>
    <t>Chaînage bas en B.A dosé à 300 kg/m3</t>
  </si>
  <si>
    <t>2.2.1.4.1</t>
  </si>
  <si>
    <t>2.2.1.4.2</t>
  </si>
  <si>
    <t>2.2.1.4.3</t>
  </si>
  <si>
    <t>Agglos pleins de 15</t>
  </si>
  <si>
    <t>Dallage au sol en béton armé dosé à 300 kg/m3</t>
  </si>
  <si>
    <t>2.2.1.6.1</t>
  </si>
  <si>
    <t>Agglos 15 creux</t>
  </si>
  <si>
    <t>Poteaux et raidisseurs en béton armé dosé à 350 kg/m3</t>
  </si>
  <si>
    <t>2.2.2.3.1</t>
  </si>
  <si>
    <t>2.2.2.3.2</t>
  </si>
  <si>
    <t>2.2.2.3.3</t>
  </si>
  <si>
    <t xml:space="preserve">         * Coffrage 12 kg/m3</t>
  </si>
  <si>
    <t>Chaînage haut et linteaux dosés à 350 kg/m3</t>
  </si>
  <si>
    <t>2.2.2.5.1</t>
  </si>
  <si>
    <t>2.2.2.5.2</t>
  </si>
  <si>
    <t>2.2.2.5.3</t>
  </si>
  <si>
    <t>Console en BA dosé à 350 kg/m3</t>
  </si>
  <si>
    <t>2.2.2.8.1</t>
  </si>
  <si>
    <t>2.2.2.8.2</t>
  </si>
  <si>
    <t>2.2.2.8.3</t>
  </si>
  <si>
    <t>2.2.2.9</t>
  </si>
  <si>
    <t>2.2.2.9.1</t>
  </si>
  <si>
    <t xml:space="preserve"> * Enduits dosés à 250 kg/m3 </t>
  </si>
  <si>
    <t>2.2.2.10</t>
  </si>
  <si>
    <t xml:space="preserve">Chape incorporée et bouchardée  dosé à 300 kg/m3 </t>
  </si>
  <si>
    <t>2.2.2.11</t>
  </si>
  <si>
    <t>Claustras de 22 x 22x20, type projet BAD</t>
  </si>
  <si>
    <t>2.3.1.4</t>
  </si>
  <si>
    <t xml:space="preserve"> placard en maçonnerie </t>
  </si>
  <si>
    <t xml:space="preserve">         * placard en maçonnerie de 60 x 150 x 100 cm</t>
  </si>
  <si>
    <t>2.3.5</t>
  </si>
  <si>
    <t>Estrade</t>
  </si>
  <si>
    <t>2.3.5.1</t>
  </si>
  <si>
    <t xml:space="preserve">Fouilles en rigole </t>
  </si>
  <si>
    <t>2.3.5.2</t>
  </si>
  <si>
    <t>Remblai  sous l'estrade</t>
  </si>
  <si>
    <t>2.3.5.3</t>
  </si>
  <si>
    <t>Béton de propreté EP = 0,05 dosé à 150 kg/m3</t>
  </si>
  <si>
    <t>2.3.5.4</t>
  </si>
  <si>
    <t>Agglos pleins de 15 d'épaisseur</t>
  </si>
  <si>
    <t>2.3.5.5</t>
  </si>
  <si>
    <t>Dallage de l'estrade en béton armé dosé à 350 kg/m3</t>
  </si>
  <si>
    <t>2.3.5.5.1</t>
  </si>
  <si>
    <t>2.3.5.5.2</t>
  </si>
  <si>
    <t xml:space="preserve">         * Armature en treilli de fer diam.6</t>
  </si>
  <si>
    <t>2.3.5.5.3</t>
  </si>
  <si>
    <t>2.3.5.6</t>
  </si>
  <si>
    <t>Enduits sur l'estrade</t>
  </si>
  <si>
    <t>Charpente</t>
  </si>
  <si>
    <t xml:space="preserve">Faitiere prefabriquée </t>
  </si>
  <si>
    <t>5.1.3</t>
  </si>
  <si>
    <t>5.1.3.1</t>
  </si>
  <si>
    <t>Bardage en tôle bac colorée h=30 cm</t>
  </si>
  <si>
    <t>Etanchéité sur les têtes de pointe</t>
  </si>
  <si>
    <t>FAUX PLAFOND EN CP 8 mm</t>
  </si>
  <si>
    <t>Faux plafond en contre- plaqué de 8 mm, dans les magasins</t>
  </si>
  <si>
    <t>Pose de baguettes</t>
  </si>
  <si>
    <t>TOTAL FAUX PLAFOND EN CP 8mm</t>
  </si>
  <si>
    <t xml:space="preserve">Portes metalliques </t>
  </si>
  <si>
    <t>Porte métallique</t>
  </si>
  <si>
    <t>7.1.1.1</t>
  </si>
  <si>
    <t xml:space="preserve">  * 100 x 100 </t>
  </si>
  <si>
    <t>7.1.1.2</t>
  </si>
  <si>
    <t xml:space="preserve">  * 90 x 210</t>
  </si>
  <si>
    <t>Fenêtre</t>
  </si>
  <si>
    <t>Fenêtre métallique de deux battants</t>
  </si>
  <si>
    <t>8.1.3</t>
  </si>
  <si>
    <t>8.1.3.1</t>
  </si>
  <si>
    <t>Grès cerame 15x15 cm pour placard et console</t>
  </si>
  <si>
    <t>8.1.3.2</t>
  </si>
  <si>
    <t>faîence h=1 m</t>
  </si>
  <si>
    <t xml:space="preserve">Vinyl sur murs extérieurs  </t>
  </si>
  <si>
    <t>9.1.2</t>
  </si>
  <si>
    <t>Peinture glycérophtalique sur soubassement et parties courantes</t>
  </si>
  <si>
    <t>9.2</t>
  </si>
  <si>
    <t>9.2.1</t>
  </si>
  <si>
    <t>Vinyl sur murs intérieurs 2 couches</t>
  </si>
  <si>
    <t>9.2.2</t>
  </si>
  <si>
    <t xml:space="preserve">Vinyl faux plafond et séparateur de placard en c/p, 2 couches </t>
  </si>
  <si>
    <t>9.3</t>
  </si>
  <si>
    <t>9.3.1</t>
  </si>
  <si>
    <t xml:space="preserve">Peinture glycérophtalique sur portes et fenêtres metalliques </t>
  </si>
  <si>
    <t>Total Cantine</t>
  </si>
  <si>
    <t>MONTANT TOTAL DU MARCHE</t>
  </si>
  <si>
    <t>CONSTRUCTION DE CANTINE</t>
  </si>
  <si>
    <r>
      <t>m</t>
    </r>
    <r>
      <rPr>
        <vertAlign val="superscript"/>
        <sz val="11"/>
        <rFont val="Calibri"/>
        <family val="2"/>
        <scheme val="minor"/>
      </rPr>
      <t>3</t>
    </r>
  </si>
  <si>
    <r>
      <t>m</t>
    </r>
    <r>
      <rPr>
        <vertAlign val="superscript"/>
        <sz val="11"/>
        <rFont val="Calibri"/>
        <family val="2"/>
        <scheme val="minor"/>
      </rPr>
      <t>2</t>
    </r>
  </si>
  <si>
    <t>2.3.4.3</t>
  </si>
  <si>
    <t>6.1</t>
  </si>
  <si>
    <t>6.1.1</t>
  </si>
  <si>
    <t>Nettoyage et décapage</t>
  </si>
  <si>
    <t xml:space="preserve"> - Fouilles en rigole pour terrasse 85 x 60 cm</t>
  </si>
  <si>
    <t>Porte métallique  146 x 220 pour classes</t>
  </si>
  <si>
    <t>Tableau</t>
  </si>
  <si>
    <t>Coefficient d'éloignement</t>
  </si>
  <si>
    <t>Linéaire de fouille</t>
  </si>
  <si>
    <t>Escalier en agglos pleins de 15 d'épaisseur</t>
  </si>
  <si>
    <t>Fouilles en rigole 85 x 60 cm</t>
  </si>
  <si>
    <t xml:space="preserve">         * Aciers Tors HA  80 kg/m3</t>
  </si>
  <si>
    <t xml:space="preserve">Devis de constructoin d'une cantine </t>
  </si>
  <si>
    <t xml:space="preserve">         * Bordure en agglo 10 ordinaire en mortier de ciment y compris fouilles, pose sur béton de propreté, enduit et peinture en façade avant et arrière</t>
  </si>
  <si>
    <t>TOTAL MARCHE HT</t>
  </si>
  <si>
    <t xml:space="preserve"> - Dallage au sol en béton armé dosé à 300 kg/m3</t>
  </si>
  <si>
    <t>Tôle onduilée  ht= 40 cm</t>
  </si>
  <si>
    <t>Pour les salles de classe</t>
  </si>
  <si>
    <t xml:space="preserve"> - Amorce des poteaux en BA dosé à 350 kg/m3</t>
  </si>
  <si>
    <t xml:space="preserve"> - Chaînage bas en B.A dosé à 350 kg/m3</t>
  </si>
  <si>
    <t xml:space="preserve">         * Aciers Tors HA  60 kg/m3</t>
  </si>
  <si>
    <t>2.2.2.2</t>
  </si>
  <si>
    <t>2.2.2.4</t>
  </si>
  <si>
    <t>6.2</t>
  </si>
  <si>
    <t>6.2.1</t>
  </si>
  <si>
    <t>7.1.2</t>
  </si>
  <si>
    <t>7.3</t>
  </si>
  <si>
    <t>7.3.1</t>
  </si>
  <si>
    <t>- Tableau de 6,00 x 140 avec pose craie pour classes</t>
  </si>
  <si>
    <t>Enduit pentécôte sur mur pour tableau</t>
  </si>
  <si>
    <t>TOTAL GENERAL 3 CLASSES HT</t>
  </si>
  <si>
    <t>TOTAL 3 CLASSES</t>
  </si>
  <si>
    <t>7.4.2</t>
  </si>
  <si>
    <t>7.4.1</t>
  </si>
  <si>
    <t>7.4</t>
  </si>
  <si>
    <t>Porte métallique  90 x 220 pour classes</t>
  </si>
  <si>
    <t>- Tableau synoptique de 3,00 x 140 pour bueaur et classes</t>
  </si>
  <si>
    <t>Placards et bibliothèques en maçonnerie des classes et bureaux (140 cm x 200 cm) avec dalette et étagères en BA</t>
  </si>
  <si>
    <t xml:space="preserve"> - Agglos creux de 15 cm d'épaisseur en BTC</t>
  </si>
  <si>
    <t>Nettoyage et décapage du terrain</t>
  </si>
  <si>
    <r>
      <t>N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 D'ORD.</t>
    </r>
  </si>
  <si>
    <t xml:space="preserve">   RECONSTRUCTION D'UN BATIMENT TROIS CLASSES </t>
  </si>
  <si>
    <t xml:space="preserve">CONSTRUCTION DE TROIS SALLES  CLASSES </t>
  </si>
  <si>
    <t>RECAPITULATIF LOT 9 DJIBOFLA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</si>
  <si>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 y/c tire-fonds</t>
    </r>
  </si>
  <si>
    <t>Tôle bac colorée y/c toutes sujection de pose</t>
  </si>
  <si>
    <t>Couverture en tole bac aluzinc colorée ép 0,30/0,32 y/c tire-fonds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</si>
</sst>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00"/>
    <numFmt numFmtId="166" formatCode="_-* #,##0_-;\-* #,##0_-;_-* &quot;-&quot;??_-;_-@_-"/>
    <numFmt numFmtId="167" formatCode="_-* #,##0.00\ _€_-;\-* #,##0.00\ _€_-;_-* &quot;-&quot;??\ _€_-;_-@_-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vertAlign val="superscript"/>
      <sz val="12"/>
      <name val="Calibri"/>
      <family val="2"/>
    </font>
    <font>
      <sz val="12"/>
      <name val="Calibri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B050"/>
      <name val="Arial"/>
      <family val="2"/>
    </font>
    <font>
      <b/>
      <i/>
      <sz val="11"/>
      <color rgb="FF92D05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25" fillId="0" borderId="0"/>
    <xf numFmtId="43" fontId="25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6" xfId="0" applyFont="1" applyBorder="1"/>
    <xf numFmtId="0" fontId="5" fillId="0" borderId="18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2" fontId="5" fillId="0" borderId="18" xfId="0" applyNumberFormat="1" applyFont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9" fillId="0" borderId="0" xfId="0" applyFont="1"/>
    <xf numFmtId="0" fontId="5" fillId="0" borderId="18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6" borderId="0" xfId="0" applyFont="1" applyFill="1"/>
    <xf numFmtId="0" fontId="5" fillId="6" borderId="18" xfId="0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5" fillId="6" borderId="0" xfId="0" applyFont="1" applyFill="1" applyAlignment="1">
      <alignment wrapText="1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0" fontId="6" fillId="6" borderId="19" xfId="0" applyFont="1" applyFill="1" applyBorder="1"/>
    <xf numFmtId="0" fontId="5" fillId="6" borderId="12" xfId="0" applyFont="1" applyFill="1" applyBorder="1" applyAlignment="1">
      <alignment horizontal="center"/>
    </xf>
    <xf numFmtId="0" fontId="1" fillId="6" borderId="0" xfId="0" applyFont="1" applyFill="1"/>
    <xf numFmtId="0" fontId="6" fillId="0" borderId="12" xfId="0" applyFont="1" applyBorder="1" applyAlignment="1">
      <alignment horizontal="left"/>
    </xf>
    <xf numFmtId="0" fontId="6" fillId="0" borderId="0" xfId="0" applyFont="1"/>
    <xf numFmtId="0" fontId="6" fillId="0" borderId="18" xfId="0" applyFont="1" applyBorder="1"/>
    <xf numFmtId="0" fontId="5" fillId="0" borderId="20" xfId="0" applyFont="1" applyBorder="1"/>
    <xf numFmtId="0" fontId="1" fillId="0" borderId="12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6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" fillId="0" borderId="18" xfId="0" applyFont="1" applyBorder="1"/>
    <xf numFmtId="165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7" borderId="10" xfId="0" applyFont="1" applyFill="1" applyBorder="1"/>
    <xf numFmtId="0" fontId="6" fillId="7" borderId="13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center"/>
    </xf>
    <xf numFmtId="2" fontId="6" fillId="7" borderId="10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/>
    </xf>
    <xf numFmtId="2" fontId="5" fillId="7" borderId="10" xfId="0" applyNumberFormat="1" applyFont="1" applyFill="1" applyBorder="1" applyAlignment="1">
      <alignment horizontal="center"/>
    </xf>
    <xf numFmtId="0" fontId="5" fillId="9" borderId="13" xfId="0" applyFont="1" applyFill="1" applyBorder="1"/>
    <xf numFmtId="0" fontId="6" fillId="9" borderId="14" xfId="0" applyFont="1" applyFill="1" applyBorder="1"/>
    <xf numFmtId="0" fontId="5" fillId="9" borderId="14" xfId="0" applyFont="1" applyFill="1" applyBorder="1" applyAlignment="1">
      <alignment horizontal="center"/>
    </xf>
    <xf numFmtId="2" fontId="6" fillId="9" borderId="14" xfId="0" applyNumberFormat="1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4" borderId="16" xfId="0" applyFont="1" applyFill="1" applyBorder="1" applyAlignment="1">
      <alignment horizontal="left"/>
    </xf>
    <xf numFmtId="0" fontId="6" fillId="4" borderId="16" xfId="0" applyFont="1" applyFill="1" applyBorder="1"/>
    <xf numFmtId="0" fontId="5" fillId="4" borderId="18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0" fontId="1" fillId="0" borderId="12" xfId="0" applyFont="1" applyBorder="1"/>
    <xf numFmtId="0" fontId="6" fillId="4" borderId="16" xfId="0" quotePrefix="1" applyFont="1" applyFill="1" applyBorder="1"/>
    <xf numFmtId="0" fontId="6" fillId="4" borderId="18" xfId="0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0" fontId="5" fillId="10" borderId="10" xfId="0" applyFont="1" applyFill="1" applyBorder="1"/>
    <xf numFmtId="0" fontId="6" fillId="10" borderId="13" xfId="0" applyFont="1" applyFill="1" applyBorder="1" applyAlignment="1">
      <alignment horizontal="right"/>
    </xf>
    <xf numFmtId="0" fontId="5" fillId="10" borderId="10" xfId="0" applyFont="1" applyFill="1" applyBorder="1" applyAlignment="1">
      <alignment horizontal="center"/>
    </xf>
    <xf numFmtId="2" fontId="6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2" fontId="5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left"/>
    </xf>
    <xf numFmtId="0" fontId="6" fillId="10" borderId="14" xfId="0" applyFont="1" applyFill="1" applyBorder="1" applyAlignment="1">
      <alignment horizontal="right"/>
    </xf>
    <xf numFmtId="0" fontId="12" fillId="0" borderId="0" xfId="0" applyFont="1"/>
    <xf numFmtId="0" fontId="6" fillId="0" borderId="19" xfId="0" applyFont="1" applyBorder="1"/>
    <xf numFmtId="49" fontId="5" fillId="0" borderId="0" xfId="0" applyNumberFormat="1" applyFont="1"/>
    <xf numFmtId="0" fontId="5" fillId="6" borderId="18" xfId="0" applyFont="1" applyFill="1" applyBorder="1" applyAlignment="1">
      <alignment horizontal="left"/>
    </xf>
    <xf numFmtId="0" fontId="6" fillId="11" borderId="18" xfId="0" applyFont="1" applyFill="1" applyBorder="1" applyAlignment="1">
      <alignment horizontal="left"/>
    </xf>
    <xf numFmtId="0" fontId="5" fillId="11" borderId="18" xfId="0" applyFont="1" applyFill="1" applyBorder="1" applyAlignment="1">
      <alignment horizontal="center"/>
    </xf>
    <xf numFmtId="2" fontId="5" fillId="11" borderId="18" xfId="0" applyNumberFormat="1" applyFont="1" applyFill="1" applyBorder="1" applyAlignment="1">
      <alignment horizontal="center"/>
    </xf>
    <xf numFmtId="0" fontId="6" fillId="11" borderId="18" xfId="0" applyFont="1" applyFill="1" applyBorder="1"/>
    <xf numFmtId="0" fontId="4" fillId="0" borderId="13" xfId="0" applyFont="1" applyBorder="1" applyAlignment="1">
      <alignment horizontal="right"/>
    </xf>
    <xf numFmtId="0" fontId="6" fillId="11" borderId="0" xfId="0" applyFont="1" applyFill="1"/>
    <xf numFmtId="0" fontId="6" fillId="11" borderId="16" xfId="0" applyFont="1" applyFill="1" applyBorder="1" applyAlignment="1">
      <alignment horizontal="left"/>
    </xf>
    <xf numFmtId="0" fontId="6" fillId="11" borderId="16" xfId="0" applyFont="1" applyFill="1" applyBorder="1" applyAlignment="1">
      <alignment wrapText="1"/>
    </xf>
    <xf numFmtId="0" fontId="6" fillId="11" borderId="18" xfId="0" applyFont="1" applyFill="1" applyBorder="1" applyAlignment="1">
      <alignment horizontal="center"/>
    </xf>
    <xf numFmtId="2" fontId="6" fillId="11" borderId="18" xfId="0" applyNumberFormat="1" applyFont="1" applyFill="1" applyBorder="1" applyAlignment="1">
      <alignment horizontal="center"/>
    </xf>
    <xf numFmtId="0" fontId="6" fillId="11" borderId="16" xfId="0" applyFont="1" applyFill="1" applyBorder="1"/>
    <xf numFmtId="0" fontId="6" fillId="6" borderId="16" xfId="0" applyFont="1" applyFill="1" applyBorder="1" applyAlignment="1">
      <alignment horizontal="left"/>
    </xf>
    <xf numFmtId="0" fontId="6" fillId="6" borderId="16" xfId="0" applyFont="1" applyFill="1" applyBorder="1"/>
    <xf numFmtId="0" fontId="5" fillId="6" borderId="16" xfId="0" applyFont="1" applyFill="1" applyBorder="1" applyAlignment="1">
      <alignment horizontal="left"/>
    </xf>
    <xf numFmtId="0" fontId="5" fillId="6" borderId="16" xfId="0" applyFont="1" applyFill="1" applyBorder="1"/>
    <xf numFmtId="49" fontId="13" fillId="0" borderId="0" xfId="0" applyNumberFormat="1" applyFont="1" applyAlignment="1">
      <alignment horizontal="left" vertical="top"/>
    </xf>
    <xf numFmtId="0" fontId="13" fillId="0" borderId="0" xfId="0" applyFont="1"/>
    <xf numFmtId="4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3" fontId="6" fillId="5" borderId="25" xfId="0" applyNumberFormat="1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top"/>
    </xf>
    <xf numFmtId="0" fontId="15" fillId="0" borderId="0" xfId="0" applyFont="1"/>
    <xf numFmtId="4" fontId="15" fillId="0" borderId="0" xfId="0" applyNumberFormat="1" applyFont="1"/>
    <xf numFmtId="0" fontId="14" fillId="2" borderId="5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3" fontId="15" fillId="4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0" fontId="15" fillId="6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4" fontId="15" fillId="6" borderId="1" xfId="0" applyNumberFormat="1" applyFont="1" applyFill="1" applyBorder="1"/>
    <xf numFmtId="3" fontId="15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right" vertical="top" wrapText="1"/>
    </xf>
    <xf numFmtId="3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right"/>
    </xf>
    <xf numFmtId="16" fontId="14" fillId="0" borderId="2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top" wrapText="1"/>
    </xf>
    <xf numFmtId="3" fontId="15" fillId="3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/>
    </xf>
    <xf numFmtId="0" fontId="17" fillId="0" borderId="3" xfId="0" applyFont="1" applyBorder="1"/>
    <xf numFmtId="0" fontId="15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 vertical="center"/>
    </xf>
    <xf numFmtId="1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4" fontId="15" fillId="0" borderId="1" xfId="0" applyNumberFormat="1" applyFont="1" applyBorder="1"/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9" fontId="15" fillId="6" borderId="2" xfId="0" applyNumberFormat="1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right" vertical="top" wrapText="1"/>
    </xf>
    <xf numFmtId="3" fontId="15" fillId="6" borderId="1" xfId="0" applyNumberFormat="1" applyFont="1" applyFill="1" applyBorder="1" applyAlignment="1">
      <alignment horizontal="right"/>
    </xf>
    <xf numFmtId="4" fontId="15" fillId="6" borderId="1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5" fillId="0" borderId="1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wrapText="1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0" fontId="14" fillId="5" borderId="1" xfId="0" applyFont="1" applyFill="1" applyBorder="1" applyAlignment="1">
      <alignment vertical="top" wrapText="1"/>
    </xf>
    <xf numFmtId="49" fontId="15" fillId="6" borderId="2" xfId="0" applyNumberFormat="1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 wrapText="1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3" fontId="14" fillId="5" borderId="1" xfId="0" applyNumberFormat="1" applyFont="1" applyFill="1" applyBorder="1" applyAlignment="1">
      <alignment horizontal="center"/>
    </xf>
    <xf numFmtId="0" fontId="19" fillId="0" borderId="0" xfId="0" applyFont="1"/>
    <xf numFmtId="0" fontId="5" fillId="6" borderId="13" xfId="0" applyFont="1" applyFill="1" applyBorder="1"/>
    <xf numFmtId="0" fontId="6" fillId="6" borderId="14" xfId="0" applyFont="1" applyFill="1" applyBorder="1" applyAlignment="1">
      <alignment horizontal="right"/>
    </xf>
    <xf numFmtId="0" fontId="5" fillId="6" borderId="14" xfId="0" applyFont="1" applyFill="1" applyBorder="1" applyAlignment="1">
      <alignment horizontal="center"/>
    </xf>
    <xf numFmtId="2" fontId="6" fillId="6" borderId="14" xfId="0" applyNumberFormat="1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0" fontId="21" fillId="9" borderId="14" xfId="3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vertical="center" wrapText="1"/>
    </xf>
    <xf numFmtId="10" fontId="22" fillId="5" borderId="4" xfId="0" applyNumberFormat="1" applyFont="1" applyFill="1" applyBorder="1" applyAlignment="1">
      <alignment vertical="center" wrapText="1"/>
    </xf>
    <xf numFmtId="0" fontId="7" fillId="0" borderId="0" xfId="0" applyFont="1"/>
    <xf numFmtId="0" fontId="6" fillId="0" borderId="12" xfId="0" applyFont="1" applyBorder="1" applyAlignment="1" applyProtection="1">
      <alignment horizontal="center" vertical="center" wrapText="1"/>
      <protection locked="0"/>
    </xf>
    <xf numFmtId="3" fontId="5" fillId="4" borderId="18" xfId="0" applyNumberFormat="1" applyFont="1" applyFill="1" applyBorder="1" applyAlignment="1" applyProtection="1">
      <alignment horizontal="center"/>
      <protection locked="0"/>
    </xf>
    <xf numFmtId="3" fontId="5" fillId="6" borderId="18" xfId="0" applyNumberFormat="1" applyFont="1" applyFill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3" fontId="6" fillId="0" borderId="18" xfId="0" applyNumberFormat="1" applyFont="1" applyBorder="1" applyAlignment="1" applyProtection="1">
      <alignment horizontal="center"/>
      <protection locked="0"/>
    </xf>
    <xf numFmtId="3" fontId="6" fillId="7" borderId="10" xfId="0" applyNumberFormat="1" applyFont="1" applyFill="1" applyBorder="1" applyAlignment="1" applyProtection="1">
      <alignment horizontal="center"/>
      <protection locked="0"/>
    </xf>
    <xf numFmtId="3" fontId="5" fillId="0" borderId="12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3" fontId="5" fillId="11" borderId="18" xfId="0" applyNumberFormat="1" applyFont="1" applyFill="1" applyBorder="1" applyAlignment="1" applyProtection="1">
      <alignment horizontal="center"/>
      <protection locked="0"/>
    </xf>
    <xf numFmtId="164" fontId="5" fillId="6" borderId="18" xfId="0" applyNumberFormat="1" applyFont="1" applyFill="1" applyBorder="1" applyAlignment="1" applyProtection="1">
      <alignment horizontal="center"/>
      <protection locked="0"/>
    </xf>
    <xf numFmtId="3" fontId="5" fillId="7" borderId="10" xfId="0" applyNumberFormat="1" applyFont="1" applyFill="1" applyBorder="1" applyAlignment="1" applyProtection="1">
      <alignment horizontal="center"/>
      <protection locked="0"/>
    </xf>
    <xf numFmtId="3" fontId="5" fillId="0" borderId="20" xfId="0" applyNumberFormat="1" applyFont="1" applyBorder="1" applyAlignment="1" applyProtection="1">
      <alignment horizontal="center"/>
      <protection locked="0"/>
    </xf>
    <xf numFmtId="3" fontId="6" fillId="10" borderId="10" xfId="0" applyNumberFormat="1" applyFont="1" applyFill="1" applyBorder="1" applyAlignment="1" applyProtection="1">
      <alignment horizontal="center"/>
      <protection locked="0"/>
    </xf>
    <xf numFmtId="3" fontId="6" fillId="11" borderId="18" xfId="0" applyNumberFormat="1" applyFont="1" applyFill="1" applyBorder="1" applyAlignment="1" applyProtection="1">
      <alignment horizontal="center"/>
      <protection locked="0"/>
    </xf>
    <xf numFmtId="3" fontId="5" fillId="10" borderId="1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3" fontId="15" fillId="0" borderId="1" xfId="0" applyNumberFormat="1" applyFont="1" applyBorder="1" applyAlignment="1" applyProtection="1">
      <alignment horizontal="right"/>
      <protection locked="0"/>
    </xf>
    <xf numFmtId="3" fontId="15" fillId="4" borderId="1" xfId="0" applyNumberFormat="1" applyFont="1" applyFill="1" applyBorder="1" applyAlignment="1" applyProtection="1">
      <alignment horizontal="right"/>
      <protection locked="0"/>
    </xf>
    <xf numFmtId="3" fontId="15" fillId="6" borderId="1" xfId="0" applyNumberFormat="1" applyFont="1" applyFill="1" applyBorder="1" applyAlignment="1" applyProtection="1">
      <alignment vertical="center" wrapText="1"/>
      <protection locked="0"/>
    </xf>
    <xf numFmtId="3" fontId="15" fillId="5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right" vertical="center" wrapText="1"/>
      <protection locked="0"/>
    </xf>
    <xf numFmtId="3" fontId="15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Protection="1">
      <protection locked="0"/>
    </xf>
    <xf numFmtId="3" fontId="15" fillId="6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9" fontId="15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0" fontId="6" fillId="6" borderId="0" xfId="0" applyFont="1" applyFill="1"/>
    <xf numFmtId="0" fontId="5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7" fillId="5" borderId="4" xfId="0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23" xfId="0" applyFont="1" applyBorder="1"/>
    <xf numFmtId="49" fontId="6" fillId="0" borderId="13" xfId="0" applyNumberFormat="1" applyFont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right"/>
    </xf>
    <xf numFmtId="3" fontId="5" fillId="0" borderId="28" xfId="0" applyNumberFormat="1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/>
    </xf>
    <xf numFmtId="0" fontId="5" fillId="13" borderId="0" xfId="0" applyFont="1" applyFill="1"/>
    <xf numFmtId="1" fontId="6" fillId="6" borderId="0" xfId="2" applyNumberFormat="1" applyFont="1" applyFill="1" applyBorder="1" applyAlignment="1">
      <alignment horizontal="center"/>
    </xf>
    <xf numFmtId="166" fontId="6" fillId="9" borderId="10" xfId="2" applyNumberFormat="1" applyFont="1" applyFill="1" applyBorder="1" applyAlignment="1">
      <alignment horizontal="center"/>
    </xf>
    <xf numFmtId="166" fontId="6" fillId="6" borderId="10" xfId="2" applyNumberFormat="1" applyFont="1" applyFill="1" applyBorder="1" applyAlignment="1">
      <alignment horizontal="center"/>
    </xf>
    <xf numFmtId="0" fontId="6" fillId="6" borderId="14" xfId="0" applyFont="1" applyFill="1" applyBorder="1"/>
    <xf numFmtId="166" fontId="6" fillId="10" borderId="10" xfId="2" applyNumberFormat="1" applyFont="1" applyFill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11" borderId="18" xfId="0" applyNumberFormat="1" applyFont="1" applyFill="1" applyBorder="1" applyAlignment="1">
      <alignment horizontal="center"/>
    </xf>
    <xf numFmtId="3" fontId="6" fillId="10" borderId="10" xfId="0" applyNumberFormat="1" applyFont="1" applyFill="1" applyBorder="1" applyAlignment="1">
      <alignment horizontal="center"/>
    </xf>
    <xf numFmtId="3" fontId="6" fillId="7" borderId="10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6" borderId="18" xfId="0" applyNumberFormat="1" applyFont="1" applyFill="1" applyBorder="1" applyAlignment="1" applyProtection="1">
      <alignment horizontal="center"/>
      <protection locked="0"/>
    </xf>
    <xf numFmtId="2" fontId="6" fillId="6" borderId="18" xfId="0" applyNumberFormat="1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6" xfId="0" quotePrefix="1" applyFont="1" applyFill="1" applyBorder="1"/>
    <xf numFmtId="3" fontId="5" fillId="4" borderId="1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2" fontId="24" fillId="0" borderId="10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/>
    </xf>
    <xf numFmtId="3" fontId="2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23" fillId="12" borderId="3" xfId="0" applyNumberFormat="1" applyFont="1" applyFill="1" applyBorder="1" applyAlignment="1">
      <alignment horizontal="center" vertical="center"/>
    </xf>
    <xf numFmtId="49" fontId="23" fillId="12" borderId="4" xfId="0" applyNumberFormat="1" applyFont="1" applyFill="1" applyBorder="1" applyAlignment="1">
      <alignment horizontal="center" vertical="center"/>
    </xf>
    <xf numFmtId="49" fontId="23" fillId="12" borderId="7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12" borderId="21" xfId="0" applyNumberFormat="1" applyFont="1" applyFill="1" applyBorder="1" applyAlignment="1">
      <alignment horizontal="center" vertical="center"/>
    </xf>
    <xf numFmtId="49" fontId="6" fillId="12" borderId="22" xfId="0" applyNumberFormat="1" applyFont="1" applyFill="1" applyBorder="1" applyAlignment="1">
      <alignment horizontal="center" vertical="center"/>
    </xf>
  </cellXfs>
  <cellStyles count="15">
    <cellStyle name="Milliers" xfId="2" builtinId="3"/>
    <cellStyle name="Milliers 2" xfId="5" xr:uid="{648974AF-A814-4527-91AA-7D813ABDF06E}"/>
    <cellStyle name="Milliers 2 2" xfId="13" xr:uid="{4EF352C4-2941-4D1D-B048-92FCD3F37585}"/>
    <cellStyle name="Milliers 2 3" xfId="14" xr:uid="{4221E62E-0B54-48F6-8338-074E1EAF9E7B}"/>
    <cellStyle name="Milliers 3" xfId="8" xr:uid="{ED699584-654A-48B4-AE6C-A009A9783F1D}"/>
    <cellStyle name="Milliers 4" xfId="11" xr:uid="{654A5D46-0CA0-46E1-8835-A21EEE461B76}"/>
    <cellStyle name="Normal" xfId="0" builtinId="0"/>
    <cellStyle name="Normal 2" xfId="1" xr:uid="{00000000-0005-0000-0000-000001000000}"/>
    <cellStyle name="Normal 2 2" xfId="12" xr:uid="{8179E05E-5437-44EC-AC57-7A15013F8D49}"/>
    <cellStyle name="Normal 3" xfId="4" xr:uid="{CBD1F6BD-AC68-49B0-90C7-33BA901D2C8D}"/>
    <cellStyle name="Normal 4" xfId="6" xr:uid="{348FDBAB-B8DD-4F53-BCA2-97BE812E9A3C}"/>
    <cellStyle name="Normal 4 2" xfId="9" xr:uid="{BE93DCFC-D12B-4544-AD9A-AA0E09A5AA1B}"/>
    <cellStyle name="Normal 5" xfId="10" xr:uid="{06BE30CD-17A2-4E9A-BFD0-00452F81EA6A}"/>
    <cellStyle name="Pourcentage" xfId="3" builtinId="5"/>
    <cellStyle name="Pourcentage 2" xfId="7" xr:uid="{2858F958-7E18-4ADA-8926-E7B03302AAAA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2446020</xdr:colOff>
      <xdr:row>0</xdr:row>
      <xdr:rowOff>152400</xdr:rowOff>
    </xdr:from>
    <xdr:ext cx="1997357" cy="802922"/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9C77CC52-14F7-48F5-92DB-B4042C973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1470" y="152400"/>
          <a:ext cx="1997357" cy="80292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1836420</xdr:colOff>
      <xdr:row>0</xdr:row>
      <xdr:rowOff>198120</xdr:rowOff>
    </xdr:from>
    <xdr:to>
      <xdr:col>2</xdr:col>
      <xdr:colOff>92075</xdr:colOff>
      <xdr:row>0</xdr:row>
      <xdr:rowOff>998220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7C39F4E-842F-43CB-BD9A-49DF6544D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98120"/>
          <a:ext cx="1913255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2116666</xdr:colOff>
      <xdr:row>0</xdr:row>
      <xdr:rowOff>256155</xdr:rowOff>
    </xdr:from>
    <xdr:to>
      <xdr:col>0</xdr:col>
      <xdr:colOff>3831167</xdr:colOff>
      <xdr:row>0</xdr:row>
      <xdr:rowOff>973138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C660D8F-0346-4D41-A1C8-E215B90B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6" y="256155"/>
          <a:ext cx="1714501" cy="7169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DE78-56DB-4F05-BF45-09AAFA97B4A8}">
  <dimension ref="A1:G115"/>
  <sheetViews>
    <sheetView showGridLines="0" view="pageBreakPreview" topLeftCell="A64" zoomScale="90" zoomScaleSheetLayoutView="90" workbookViewId="0">
      <selection activeCell="B82" sqref="B82"/>
    </sheetView>
  </sheetViews>
  <sheetFormatPr baseColWidth="10" defaultColWidth="11.44140625" defaultRowHeight="15"/>
  <cols>
    <col min="1" max="1" width="10" style="231" customWidth="1"/>
    <col min="2" max="2" width="65" style="231" customWidth="1"/>
    <col min="3" max="3" width="8.21875" style="2" customWidth="1"/>
    <col min="4" max="4" width="10.5546875" style="3" customWidth="1"/>
    <col min="5" max="5" width="12.5546875" style="3" customWidth="1"/>
    <col min="6" max="6" width="14.77734375" style="3" customWidth="1"/>
    <col min="7" max="16384" width="11.44140625" style="2"/>
  </cols>
  <sheetData>
    <row r="1" spans="1:7" ht="29.55" customHeight="1"/>
    <row r="2" spans="1:7" ht="27.6" customHeight="1"/>
    <row r="3" spans="1:7" ht="22.95" customHeight="1">
      <c r="A3" s="1"/>
      <c r="B3" s="1"/>
    </row>
    <row r="4" spans="1:7" s="4" customFormat="1" ht="13.8" thickBot="1">
      <c r="B4" s="271"/>
      <c r="C4" s="271"/>
      <c r="D4" s="5"/>
      <c r="E4" s="228"/>
      <c r="F4" s="228"/>
    </row>
    <row r="5" spans="1:7" s="4" customFormat="1" ht="22.95" customHeight="1" thickBot="1">
      <c r="A5" s="272" t="s">
        <v>316</v>
      </c>
      <c r="B5" s="273"/>
      <c r="C5" s="273"/>
      <c r="D5" s="273"/>
      <c r="E5" s="273"/>
      <c r="F5" s="274"/>
    </row>
    <row r="6" spans="1:7" s="4" customFormat="1" ht="13.2" customHeight="1" thickBot="1">
      <c r="B6" s="7"/>
      <c r="C6" s="7"/>
      <c r="D6" s="8"/>
      <c r="E6" s="9"/>
      <c r="F6" s="9"/>
    </row>
    <row r="7" spans="1:7" s="264" customFormat="1" ht="33" customHeight="1" thickBot="1">
      <c r="A7" s="270" t="s">
        <v>315</v>
      </c>
      <c r="B7" s="269" t="s">
        <v>70</v>
      </c>
      <c r="C7" s="266" t="s">
        <v>74</v>
      </c>
      <c r="D7" s="268" t="s">
        <v>75</v>
      </c>
      <c r="E7" s="267" t="s">
        <v>76</v>
      </c>
      <c r="F7" s="266" t="s">
        <v>77</v>
      </c>
      <c r="G7" s="265"/>
    </row>
    <row r="8" spans="1:7" s="10" customFormat="1" ht="14.55" customHeight="1">
      <c r="A8" s="65"/>
      <c r="B8" s="64"/>
      <c r="C8" s="6"/>
      <c r="D8" s="63"/>
      <c r="E8" s="197"/>
      <c r="F8" s="6"/>
      <c r="G8" s="263"/>
    </row>
    <row r="9" spans="1:7" s="4" customFormat="1" ht="15.6">
      <c r="A9" s="66" t="s">
        <v>145</v>
      </c>
      <c r="B9" s="67" t="s">
        <v>144</v>
      </c>
      <c r="C9" s="68"/>
      <c r="D9" s="69"/>
      <c r="E9" s="198"/>
      <c r="F9" s="262"/>
    </row>
    <row r="10" spans="1:7" s="4" customFormat="1" ht="13.95" customHeight="1">
      <c r="A10" s="97"/>
      <c r="B10" s="98"/>
      <c r="C10" s="31"/>
      <c r="D10" s="32"/>
      <c r="E10" s="199"/>
      <c r="F10" s="256"/>
    </row>
    <row r="11" spans="1:7" s="4" customFormat="1" ht="16.2" customHeight="1">
      <c r="A11" s="99" t="s">
        <v>68</v>
      </c>
      <c r="B11" s="100" t="s">
        <v>314</v>
      </c>
      <c r="C11" s="31" t="s">
        <v>168</v>
      </c>
      <c r="D11" s="32">
        <v>1</v>
      </c>
      <c r="E11" s="199"/>
      <c r="F11" s="252">
        <f>D11*E11</f>
        <v>0</v>
      </c>
    </row>
    <row r="12" spans="1:7" s="4" customFormat="1" ht="15.6" customHeight="1">
      <c r="A12" s="15" t="s">
        <v>5</v>
      </c>
      <c r="B12" s="16" t="s">
        <v>167</v>
      </c>
      <c r="C12" s="12" t="s">
        <v>168</v>
      </c>
      <c r="D12" s="17">
        <v>0</v>
      </c>
      <c r="E12" s="200"/>
      <c r="F12" s="252">
        <f>D12*E12</f>
        <v>0</v>
      </c>
    </row>
    <row r="13" spans="1:7" s="4" customFormat="1" ht="17.55" customHeight="1" thickBot="1">
      <c r="A13" s="15" t="s">
        <v>69</v>
      </c>
      <c r="B13" s="16" t="s">
        <v>166</v>
      </c>
      <c r="C13" s="12" t="s">
        <v>168</v>
      </c>
      <c r="D13" s="17">
        <v>1</v>
      </c>
      <c r="E13" s="199"/>
      <c r="F13" s="252">
        <f>D13*E13</f>
        <v>0</v>
      </c>
    </row>
    <row r="14" spans="1:7" s="4" customFormat="1" ht="16.2" thickBot="1">
      <c r="A14" s="51"/>
      <c r="B14" s="52" t="s">
        <v>153</v>
      </c>
      <c r="C14" s="53"/>
      <c r="D14" s="54"/>
      <c r="E14" s="201"/>
      <c r="F14" s="255">
        <f>SUM(F12:F13)</f>
        <v>0</v>
      </c>
    </row>
    <row r="15" spans="1:7" s="4" customFormat="1" ht="15.6">
      <c r="B15" s="70"/>
      <c r="C15" s="21"/>
      <c r="D15" s="22"/>
      <c r="E15" s="202"/>
      <c r="F15" s="252"/>
    </row>
    <row r="16" spans="1:7" s="4" customFormat="1" ht="15.6">
      <c r="A16" s="66" t="s">
        <v>14</v>
      </c>
      <c r="B16" s="71" t="s">
        <v>146</v>
      </c>
      <c r="C16" s="72"/>
      <c r="D16" s="73"/>
      <c r="E16" s="203"/>
      <c r="F16" s="262"/>
    </row>
    <row r="17" spans="1:6" s="39" customFormat="1" ht="15.6">
      <c r="A17" s="97"/>
      <c r="B17" s="261"/>
      <c r="C17" s="260"/>
      <c r="D17" s="259"/>
      <c r="E17" s="258"/>
      <c r="F17" s="256"/>
    </row>
    <row r="18" spans="1:6" s="4" customFormat="1" ht="15.6">
      <c r="A18" s="14"/>
      <c r="B18" s="16" t="s">
        <v>79</v>
      </c>
      <c r="C18" s="21"/>
      <c r="D18" s="22"/>
      <c r="E18" s="204"/>
      <c r="F18" s="252"/>
    </row>
    <row r="19" spans="1:6" s="4" customFormat="1">
      <c r="A19" s="15" t="s">
        <v>78</v>
      </c>
      <c r="B19" s="16" t="s">
        <v>283</v>
      </c>
      <c r="C19" s="12" t="s">
        <v>7</v>
      </c>
      <c r="D19" s="49">
        <f>(26.7*3+9.88*2+7.23*2)</f>
        <v>114.32</v>
      </c>
      <c r="E19" s="200"/>
      <c r="F19" s="252"/>
    </row>
    <row r="20" spans="1:6" s="4" customFormat="1">
      <c r="A20" s="15" t="s">
        <v>80</v>
      </c>
      <c r="B20" s="16" t="s">
        <v>279</v>
      </c>
      <c r="C20" s="12" t="s">
        <v>10</v>
      </c>
      <c r="D20" s="49">
        <f>(26.7*3+9.88*2+7.23*2)*0.85*0.6</f>
        <v>58.303199999999997</v>
      </c>
      <c r="E20" s="200"/>
      <c r="F20" s="252">
        <f>D20*E20</f>
        <v>0</v>
      </c>
    </row>
    <row r="21" spans="1:6" s="4" customFormat="1" ht="17.55" customHeight="1">
      <c r="A21" s="15" t="s">
        <v>81</v>
      </c>
      <c r="B21" s="16" t="s">
        <v>82</v>
      </c>
      <c r="C21" s="12" t="s">
        <v>10</v>
      </c>
      <c r="D21" s="49">
        <f>(26.7*3+9.88*2+7.23*2)*0.65*0.45</f>
        <v>33.438600000000001</v>
      </c>
      <c r="E21" s="200"/>
      <c r="F21" s="252">
        <f>D21*E21</f>
        <v>0</v>
      </c>
    </row>
    <row r="22" spans="1:6" s="4" customFormat="1" ht="17.55" customHeight="1" thickBot="1">
      <c r="A22" s="15" t="s">
        <v>83</v>
      </c>
      <c r="B22" s="16" t="s">
        <v>84</v>
      </c>
      <c r="C22" s="12" t="s">
        <v>10</v>
      </c>
      <c r="D22" s="49">
        <f>26.27*9.88*0.88</f>
        <v>228.40188799999999</v>
      </c>
      <c r="E22" s="200"/>
      <c r="F22" s="252">
        <f>D22*E22</f>
        <v>0</v>
      </c>
    </row>
    <row r="23" spans="1:6" s="4" customFormat="1" ht="17.55" customHeight="1" thickBot="1">
      <c r="A23" s="18"/>
      <c r="B23" s="245" t="s">
        <v>154</v>
      </c>
      <c r="C23" s="19"/>
      <c r="D23" s="20"/>
      <c r="E23" s="207"/>
      <c r="F23" s="257">
        <f>SUM(F20:F22)</f>
        <v>0</v>
      </c>
    </row>
    <row r="24" spans="1:6" s="4" customFormat="1" ht="17.55" customHeight="1">
      <c r="A24" s="23" t="s">
        <v>16</v>
      </c>
      <c r="B24" s="83" t="s">
        <v>165</v>
      </c>
      <c r="C24" s="24"/>
      <c r="D24" s="13"/>
      <c r="E24" s="206"/>
      <c r="F24" s="252"/>
    </row>
    <row r="25" spans="1:6" s="4" customFormat="1" ht="17.55" customHeight="1">
      <c r="A25" s="27" t="s">
        <v>17</v>
      </c>
      <c r="B25" s="26" t="s">
        <v>164</v>
      </c>
      <c r="C25" s="12"/>
      <c r="D25" s="17"/>
      <c r="E25" s="200"/>
      <c r="F25" s="252"/>
    </row>
    <row r="26" spans="1:6" s="4" customFormat="1" ht="17.55" customHeight="1">
      <c r="A26" s="27" t="s">
        <v>85</v>
      </c>
      <c r="B26" s="28" t="s">
        <v>86</v>
      </c>
      <c r="C26" s="12" t="s">
        <v>10</v>
      </c>
      <c r="D26" s="17">
        <f>D19*0.6*0.05</f>
        <v>3.4296000000000002</v>
      </c>
      <c r="E26" s="200"/>
      <c r="F26" s="252">
        <f t="shared" ref="F26:F32" si="0">D26*E26</f>
        <v>0</v>
      </c>
    </row>
    <row r="27" spans="1:6" s="4" customFormat="1" ht="17.55" customHeight="1">
      <c r="A27" s="27" t="s">
        <v>87</v>
      </c>
      <c r="B27" s="28" t="s">
        <v>170</v>
      </c>
      <c r="C27" s="12" t="s">
        <v>10</v>
      </c>
      <c r="D27" s="17">
        <f>D19*0.6*0.1</f>
        <v>6.8592000000000004</v>
      </c>
      <c r="E27" s="200"/>
      <c r="F27" s="252">
        <f t="shared" si="0"/>
        <v>0</v>
      </c>
    </row>
    <row r="28" spans="1:6" s="4" customFormat="1" ht="17.55" customHeight="1">
      <c r="A28" s="27" t="s">
        <v>88</v>
      </c>
      <c r="B28" s="28" t="s">
        <v>293</v>
      </c>
      <c r="C28" s="12" t="s">
        <v>10</v>
      </c>
      <c r="D28" s="17">
        <f>16*0.15*0.15*1+30*0.15*0.2*1+10*0.2*0.2*1</f>
        <v>1.6600000000000001</v>
      </c>
      <c r="E28" s="200"/>
      <c r="F28" s="252">
        <f t="shared" si="0"/>
        <v>0</v>
      </c>
    </row>
    <row r="29" spans="1:6" s="4" customFormat="1" ht="17.55" customHeight="1">
      <c r="A29" s="27" t="s">
        <v>89</v>
      </c>
      <c r="B29" s="28" t="s">
        <v>294</v>
      </c>
      <c r="C29" s="12" t="s">
        <v>10</v>
      </c>
      <c r="D29" s="17">
        <f>D19*0.2*0.15</f>
        <v>3.4296000000000002</v>
      </c>
      <c r="E29" s="200"/>
      <c r="F29" s="252">
        <f t="shared" si="0"/>
        <v>0</v>
      </c>
    </row>
    <row r="30" spans="1:6" s="4" customFormat="1">
      <c r="A30" s="27" t="s">
        <v>90</v>
      </c>
      <c r="B30" s="28" t="s">
        <v>172</v>
      </c>
      <c r="C30" s="12" t="s">
        <v>4</v>
      </c>
      <c r="D30" s="17">
        <f>D19*1.05</f>
        <v>120.036</v>
      </c>
      <c r="E30" s="200"/>
      <c r="F30" s="252">
        <f t="shared" si="0"/>
        <v>0</v>
      </c>
    </row>
    <row r="31" spans="1:6" s="4" customFormat="1">
      <c r="A31" s="27" t="s">
        <v>91</v>
      </c>
      <c r="B31" s="28" t="s">
        <v>290</v>
      </c>
      <c r="C31" s="31" t="s">
        <v>10</v>
      </c>
      <c r="D31" s="32">
        <f>26.47*9.88*0.1</f>
        <v>26.152360000000002</v>
      </c>
      <c r="E31" s="199"/>
      <c r="F31" s="252">
        <f t="shared" si="0"/>
        <v>0</v>
      </c>
    </row>
    <row r="32" spans="1:6" s="4" customFormat="1">
      <c r="A32" s="27"/>
      <c r="B32" s="28" t="s">
        <v>92</v>
      </c>
      <c r="C32" s="12" t="s">
        <v>4</v>
      </c>
      <c r="D32" s="17">
        <f>26.47*9.88</f>
        <v>261.52359999999999</v>
      </c>
      <c r="E32" s="200"/>
      <c r="F32" s="252">
        <f t="shared" si="0"/>
        <v>0</v>
      </c>
    </row>
    <row r="33" spans="1:6" s="4" customFormat="1">
      <c r="A33" s="27" t="s">
        <v>93</v>
      </c>
      <c r="B33" s="28" t="s">
        <v>94</v>
      </c>
      <c r="C33" s="12"/>
      <c r="D33" s="17"/>
      <c r="E33" s="200"/>
      <c r="F33" s="252"/>
    </row>
    <row r="34" spans="1:6" s="4" customFormat="1" ht="45">
      <c r="A34" s="27"/>
      <c r="B34" s="33" t="s">
        <v>288</v>
      </c>
      <c r="C34" s="12" t="s">
        <v>4</v>
      </c>
      <c r="D34" s="17">
        <f>26.7*0.44*4*2</f>
        <v>93.983999999999995</v>
      </c>
      <c r="E34" s="200"/>
      <c r="F34" s="252">
        <f>D34*E34</f>
        <v>0</v>
      </c>
    </row>
    <row r="35" spans="1:6" s="4" customFormat="1">
      <c r="A35" s="27"/>
      <c r="B35" s="30" t="s">
        <v>95</v>
      </c>
      <c r="C35" s="12" t="s">
        <v>10</v>
      </c>
      <c r="D35" s="17">
        <f>26.7*0.4*0.4*2</f>
        <v>8.5440000000000005</v>
      </c>
      <c r="E35" s="200"/>
      <c r="F35" s="252">
        <f>D35*E35</f>
        <v>0</v>
      </c>
    </row>
    <row r="36" spans="1:6" s="4" customFormat="1">
      <c r="A36" s="27"/>
      <c r="B36" s="30" t="s">
        <v>96</v>
      </c>
      <c r="C36" s="12" t="s">
        <v>10</v>
      </c>
      <c r="D36" s="17">
        <f>26.7*0.4*0.1*2</f>
        <v>2.1360000000000001</v>
      </c>
      <c r="E36" s="200"/>
      <c r="F36" s="252">
        <f>D36*E36</f>
        <v>0</v>
      </c>
    </row>
    <row r="37" spans="1:6" s="4" customFormat="1" ht="15.6">
      <c r="A37" s="27" t="s">
        <v>24</v>
      </c>
      <c r="B37" s="82" t="s">
        <v>147</v>
      </c>
      <c r="C37" s="21"/>
      <c r="D37" s="17"/>
      <c r="E37" s="204"/>
      <c r="F37" s="252"/>
    </row>
    <row r="38" spans="1:6" s="4" customFormat="1">
      <c r="A38" s="27" t="s">
        <v>26</v>
      </c>
      <c r="B38" s="28" t="s">
        <v>313</v>
      </c>
      <c r="C38" s="12" t="s">
        <v>4</v>
      </c>
      <c r="D38" s="17">
        <f>3*(26.7*2+7.23*4)-3*(3*1.8*1.8+2.8*1.8+1.25*1.8+3*0.9*2.2+1.4*2.2)+4*(12*1.62/2)</f>
        <v>207.74999999999997</v>
      </c>
      <c r="E38" s="200"/>
      <c r="F38" s="252">
        <f>D38*E38</f>
        <v>0</v>
      </c>
    </row>
    <row r="39" spans="1:6" s="4" customFormat="1">
      <c r="A39" s="27" t="s">
        <v>296</v>
      </c>
      <c r="B39" s="28" t="s">
        <v>97</v>
      </c>
      <c r="C39" s="12" t="s">
        <v>10</v>
      </c>
      <c r="D39" s="17">
        <f>16*0.15*0.15*3.5+30*0.2*0.15*3.5+3.5*0.2*0.2</f>
        <v>4.5499999999999989</v>
      </c>
      <c r="E39" s="200"/>
      <c r="F39" s="252">
        <f>D39*E39</f>
        <v>0</v>
      </c>
    </row>
    <row r="40" spans="1:6" s="4" customFormat="1">
      <c r="A40" s="27" t="s">
        <v>148</v>
      </c>
      <c r="B40" s="28" t="s">
        <v>98</v>
      </c>
      <c r="C40" s="12" t="s">
        <v>10</v>
      </c>
      <c r="D40" s="17">
        <f>D29+(1*0.2*0.15+1.46*0.2*0.15)*3</f>
        <v>3.6510000000000002</v>
      </c>
      <c r="E40" s="200"/>
      <c r="F40" s="252">
        <f>D40*E40</f>
        <v>0</v>
      </c>
    </row>
    <row r="41" spans="1:6" s="4" customFormat="1">
      <c r="A41" s="27" t="s">
        <v>297</v>
      </c>
      <c r="B41" s="28" t="s">
        <v>101</v>
      </c>
      <c r="C41" s="12" t="s">
        <v>10</v>
      </c>
      <c r="D41" s="17">
        <f>4*12*0.2*0.1</f>
        <v>0.96000000000000019</v>
      </c>
      <c r="E41" s="200"/>
      <c r="F41" s="252">
        <f>D41*E41</f>
        <v>0</v>
      </c>
    </row>
    <row r="42" spans="1:6" s="4" customFormat="1">
      <c r="A42" s="27" t="s">
        <v>100</v>
      </c>
      <c r="B42" s="28" t="s">
        <v>33</v>
      </c>
      <c r="C42" s="12"/>
      <c r="D42" s="17"/>
      <c r="E42" s="200"/>
      <c r="F42" s="252"/>
    </row>
    <row r="43" spans="1:6" s="4" customFormat="1">
      <c r="A43" s="27"/>
      <c r="B43" s="28" t="s">
        <v>169</v>
      </c>
      <c r="C43" s="12" t="s">
        <v>4</v>
      </c>
      <c r="D43" s="17">
        <f>(26.7*2+7.23*2)*3+9.72*2-D46-4*0.9*2.2+3*1.4+6*(12*1.6/2)</f>
        <v>225.87</v>
      </c>
      <c r="E43" s="200"/>
      <c r="F43" s="252">
        <f>D43*E43</f>
        <v>0</v>
      </c>
    </row>
    <row r="44" spans="1:6" s="4" customFormat="1">
      <c r="A44" s="27"/>
      <c r="B44" s="28" t="s">
        <v>171</v>
      </c>
      <c r="C44" s="12" t="s">
        <v>4</v>
      </c>
      <c r="D44" s="17">
        <f>3*(26.7*2+7.23*6+3.5)-D43-4*1*2.2+3*1.4*2.2+6*(12*1.6/2)</f>
        <v>133.01000000000005</v>
      </c>
      <c r="E44" s="200"/>
      <c r="F44" s="252">
        <f>D44*E44</f>
        <v>0</v>
      </c>
    </row>
    <row r="45" spans="1:6" s="4" customFormat="1">
      <c r="A45" s="27" t="s">
        <v>28</v>
      </c>
      <c r="B45" s="28" t="s">
        <v>102</v>
      </c>
      <c r="C45" s="12"/>
      <c r="D45" s="17"/>
      <c r="E45" s="200"/>
      <c r="F45" s="252"/>
    </row>
    <row r="46" spans="1:6" s="4" customFormat="1" ht="30.6">
      <c r="A46" s="27" t="s">
        <v>29</v>
      </c>
      <c r="B46" s="50" t="s">
        <v>141</v>
      </c>
      <c r="C46" s="12" t="s">
        <v>103</v>
      </c>
      <c r="D46" s="17">
        <f>3*3*1.8*1.8+3*2.8*1.8+3*1.25*1.8</f>
        <v>51.03</v>
      </c>
      <c r="E46" s="200"/>
      <c r="F46" s="252">
        <f>D46*E46</f>
        <v>0</v>
      </c>
    </row>
    <row r="47" spans="1:6" s="4" customFormat="1" ht="15.6">
      <c r="A47" s="27" t="s">
        <v>6</v>
      </c>
      <c r="B47" s="82" t="s">
        <v>34</v>
      </c>
      <c r="C47" s="12"/>
      <c r="D47" s="17"/>
      <c r="E47" s="200"/>
      <c r="F47" s="252"/>
    </row>
    <row r="48" spans="1:6" s="4" customFormat="1" ht="32.25" customHeight="1">
      <c r="A48" s="27" t="s">
        <v>30</v>
      </c>
      <c r="B48" s="50" t="s">
        <v>312</v>
      </c>
      <c r="C48" s="12" t="s">
        <v>9</v>
      </c>
      <c r="D48" s="17">
        <v>3</v>
      </c>
      <c r="E48" s="200"/>
      <c r="F48" s="252">
        <f>D48*E48</f>
        <v>0</v>
      </c>
    </row>
    <row r="49" spans="1:6" s="4" customFormat="1" ht="36" customHeight="1">
      <c r="A49" s="27" t="s">
        <v>30</v>
      </c>
      <c r="B49" s="50" t="s">
        <v>312</v>
      </c>
      <c r="C49" s="12" t="s">
        <v>9</v>
      </c>
      <c r="D49" s="17">
        <v>3</v>
      </c>
      <c r="E49" s="200"/>
      <c r="F49" s="252">
        <f>D49*E49</f>
        <v>0</v>
      </c>
    </row>
    <row r="50" spans="1:6" s="4" customFormat="1" ht="21.75" customHeight="1">
      <c r="A50" s="27" t="s">
        <v>31</v>
      </c>
      <c r="B50" s="28" t="s">
        <v>150</v>
      </c>
      <c r="C50" s="12" t="s">
        <v>9</v>
      </c>
      <c r="D50" s="17">
        <v>3</v>
      </c>
      <c r="E50" s="200"/>
      <c r="F50" s="252">
        <f>D50*E50</f>
        <v>0</v>
      </c>
    </row>
    <row r="51" spans="1:6" s="4" customFormat="1" ht="15.6">
      <c r="A51" s="27" t="s">
        <v>107</v>
      </c>
      <c r="B51" s="26" t="s">
        <v>36</v>
      </c>
      <c r="C51" s="12"/>
      <c r="D51" s="17"/>
      <c r="E51" s="200"/>
      <c r="F51" s="252"/>
    </row>
    <row r="52" spans="1:6" s="4" customFormat="1">
      <c r="A52" s="27" t="s">
        <v>108</v>
      </c>
      <c r="B52" s="28" t="s">
        <v>104</v>
      </c>
      <c r="C52" s="12" t="s">
        <v>10</v>
      </c>
      <c r="D52" s="17">
        <f>1*1.5*0.3</f>
        <v>0.44999999999999996</v>
      </c>
      <c r="E52" s="200"/>
      <c r="F52" s="252">
        <f t="shared" ref="F52:F57" si="1">D52*E52</f>
        <v>0</v>
      </c>
    </row>
    <row r="53" spans="1:6" s="4" customFormat="1">
      <c r="A53" s="27" t="s">
        <v>109</v>
      </c>
      <c r="B53" s="16" t="s">
        <v>106</v>
      </c>
      <c r="C53" s="12" t="s">
        <v>10</v>
      </c>
      <c r="D53" s="17">
        <f>1*1.5*0.2</f>
        <v>0.30000000000000004</v>
      </c>
      <c r="E53" s="200"/>
      <c r="F53" s="252">
        <f t="shared" si="1"/>
        <v>0</v>
      </c>
    </row>
    <row r="54" spans="1:6" s="4" customFormat="1">
      <c r="A54" s="27" t="s">
        <v>110</v>
      </c>
      <c r="B54" s="28" t="s">
        <v>86</v>
      </c>
      <c r="C54" s="12" t="s">
        <v>10</v>
      </c>
      <c r="D54" s="17">
        <f>1*1.5*0.05</f>
        <v>7.5000000000000011E-2</v>
      </c>
      <c r="E54" s="200"/>
      <c r="F54" s="252">
        <f t="shared" si="1"/>
        <v>0</v>
      </c>
    </row>
    <row r="55" spans="1:6" s="4" customFormat="1">
      <c r="A55" s="27" t="s">
        <v>149</v>
      </c>
      <c r="B55" s="28" t="s">
        <v>105</v>
      </c>
      <c r="C55" s="12" t="s">
        <v>4</v>
      </c>
      <c r="D55" s="17">
        <f>2.5*2*0.44</f>
        <v>2.2000000000000002</v>
      </c>
      <c r="E55" s="200"/>
      <c r="F55" s="252">
        <f t="shared" si="1"/>
        <v>0</v>
      </c>
    </row>
    <row r="56" spans="1:6" s="4" customFormat="1">
      <c r="A56" s="27"/>
      <c r="B56" s="28" t="s">
        <v>20</v>
      </c>
      <c r="C56" s="12" t="s">
        <v>10</v>
      </c>
      <c r="D56" s="17">
        <f>1*1.5*0.15</f>
        <v>0.22499999999999998</v>
      </c>
      <c r="E56" s="200"/>
      <c r="F56" s="252">
        <f t="shared" si="1"/>
        <v>0</v>
      </c>
    </row>
    <row r="57" spans="1:6" s="4" customFormat="1">
      <c r="A57" s="27"/>
      <c r="B57" s="28" t="s">
        <v>61</v>
      </c>
      <c r="C57" s="12" t="s">
        <v>23</v>
      </c>
      <c r="D57" s="17">
        <f>D56*70</f>
        <v>15.749999999999998</v>
      </c>
      <c r="E57" s="200"/>
      <c r="F57" s="252">
        <f t="shared" si="1"/>
        <v>0</v>
      </c>
    </row>
    <row r="58" spans="1:6" s="4" customFormat="1" ht="15.6">
      <c r="A58" s="27" t="s">
        <v>111</v>
      </c>
      <c r="B58" s="26" t="s">
        <v>113</v>
      </c>
      <c r="C58" s="12"/>
      <c r="D58" s="17"/>
      <c r="E58" s="200"/>
      <c r="F58" s="252"/>
    </row>
    <row r="59" spans="1:6" s="4" customFormat="1">
      <c r="A59" s="27" t="s">
        <v>112</v>
      </c>
      <c r="B59" s="84" t="s">
        <v>303</v>
      </c>
      <c r="C59" s="12" t="s">
        <v>9</v>
      </c>
      <c r="D59" s="17">
        <v>3</v>
      </c>
      <c r="E59" s="200"/>
      <c r="F59" s="252">
        <f>D59*E59</f>
        <v>0</v>
      </c>
    </row>
    <row r="60" spans="1:6" s="4" customFormat="1" ht="15.6" thickBot="1">
      <c r="A60" s="27" t="s">
        <v>275</v>
      </c>
      <c r="B60" s="84" t="s">
        <v>311</v>
      </c>
      <c r="C60" s="12" t="s">
        <v>9</v>
      </c>
      <c r="D60" s="17">
        <v>3</v>
      </c>
      <c r="E60" s="200"/>
      <c r="F60" s="252">
        <f>D60*E60</f>
        <v>0</v>
      </c>
    </row>
    <row r="61" spans="1:6" s="4" customFormat="1" ht="17.55" customHeight="1" thickBot="1">
      <c r="A61" s="18"/>
      <c r="B61" s="90" t="s">
        <v>114</v>
      </c>
      <c r="C61" s="19"/>
      <c r="D61" s="20"/>
      <c r="E61" s="207"/>
      <c r="F61" s="257">
        <f>SUM(F26:F60)</f>
        <v>0</v>
      </c>
    </row>
    <row r="62" spans="1:6" s="4" customFormat="1" ht="16.2" thickBot="1">
      <c r="A62" s="51"/>
      <c r="B62" s="52" t="s">
        <v>151</v>
      </c>
      <c r="C62" s="53"/>
      <c r="D62" s="54"/>
      <c r="E62" s="205"/>
      <c r="F62" s="255">
        <f>F23+F61</f>
        <v>0</v>
      </c>
    </row>
    <row r="63" spans="1:6" s="39" customFormat="1" ht="15.6">
      <c r="A63" s="36"/>
      <c r="B63" s="37"/>
      <c r="C63" s="38"/>
      <c r="D63" s="32"/>
      <c r="E63" s="199"/>
      <c r="F63" s="256"/>
    </row>
    <row r="64" spans="1:6" s="39" customFormat="1" ht="15.6">
      <c r="A64" s="86" t="s">
        <v>18</v>
      </c>
      <c r="B64" s="89" t="s">
        <v>71</v>
      </c>
      <c r="C64" s="87"/>
      <c r="D64" s="88"/>
      <c r="E64" s="208"/>
      <c r="F64" s="253"/>
    </row>
    <row r="65" spans="1:6" s="39" customFormat="1" ht="15.6">
      <c r="A65" s="85"/>
      <c r="B65" s="232"/>
      <c r="C65" s="31"/>
      <c r="D65" s="32"/>
      <c r="E65" s="199"/>
      <c r="F65" s="256"/>
    </row>
    <row r="66" spans="1:6" s="4" customFormat="1">
      <c r="A66" s="27" t="s">
        <v>115</v>
      </c>
      <c r="B66" s="28" t="s">
        <v>116</v>
      </c>
      <c r="C66" s="12"/>
      <c r="D66" s="17"/>
      <c r="E66" s="200"/>
      <c r="F66" s="252"/>
    </row>
    <row r="67" spans="1:6" s="4" customFormat="1">
      <c r="A67" s="15" t="s">
        <v>118</v>
      </c>
      <c r="B67" s="16" t="s">
        <v>119</v>
      </c>
      <c r="C67" s="12" t="s">
        <v>10</v>
      </c>
      <c r="D67" s="17">
        <f>(27.7*9.88)/100</f>
        <v>2.7367599999999999</v>
      </c>
      <c r="E67" s="209"/>
      <c r="F67" s="252">
        <f>D67*E67</f>
        <v>0</v>
      </c>
    </row>
    <row r="68" spans="1:6" s="4" customFormat="1" ht="15.6" thickBot="1">
      <c r="A68" s="15" t="s">
        <v>120</v>
      </c>
      <c r="B68" s="16" t="s">
        <v>121</v>
      </c>
      <c r="C68" s="12" t="s">
        <v>9</v>
      </c>
      <c r="D68" s="17">
        <v>12</v>
      </c>
      <c r="E68" s="200"/>
      <c r="F68" s="252">
        <f>D68*E68</f>
        <v>0</v>
      </c>
    </row>
    <row r="69" spans="1:6" s="4" customFormat="1" ht="16.2" thickBot="1">
      <c r="A69" s="55"/>
      <c r="B69" s="52" t="s">
        <v>152</v>
      </c>
      <c r="C69" s="56"/>
      <c r="D69" s="57"/>
      <c r="E69" s="210"/>
      <c r="F69" s="255">
        <f>SUM(F67:F68)</f>
        <v>0</v>
      </c>
    </row>
    <row r="70" spans="1:6" s="4" customFormat="1" ht="15.6">
      <c r="A70" s="40"/>
      <c r="B70" s="41"/>
      <c r="C70" s="24"/>
      <c r="D70" s="17"/>
      <c r="E70" s="206"/>
      <c r="F70" s="252"/>
    </row>
    <row r="71" spans="1:6" s="4" customFormat="1" ht="15.6">
      <c r="A71" s="86" t="s">
        <v>41</v>
      </c>
      <c r="B71" s="91" t="s">
        <v>42</v>
      </c>
      <c r="C71" s="87"/>
      <c r="D71" s="88"/>
      <c r="E71" s="208"/>
      <c r="F71" s="253"/>
    </row>
    <row r="72" spans="1:6" s="4" customFormat="1" ht="15.6">
      <c r="A72" s="25"/>
      <c r="B72" s="41"/>
      <c r="C72" s="12"/>
      <c r="D72" s="17"/>
      <c r="E72" s="200"/>
      <c r="F72" s="252"/>
    </row>
    <row r="73" spans="1:6" s="4" customFormat="1" ht="15.6">
      <c r="A73" s="27" t="s">
        <v>122</v>
      </c>
      <c r="B73" s="41" t="s">
        <v>159</v>
      </c>
      <c r="C73" s="12"/>
      <c r="D73" s="17"/>
      <c r="E73" s="200"/>
      <c r="F73" s="252"/>
    </row>
    <row r="74" spans="1:6" s="4" customFormat="1">
      <c r="A74" s="27" t="s">
        <v>123</v>
      </c>
      <c r="B74" s="28" t="s">
        <v>321</v>
      </c>
      <c r="C74" s="12" t="s">
        <v>4</v>
      </c>
      <c r="D74" s="17">
        <f>27.7*12</f>
        <v>332.4</v>
      </c>
      <c r="E74" s="200"/>
      <c r="F74" s="252">
        <f>D74*E74</f>
        <v>0</v>
      </c>
    </row>
    <row r="75" spans="1:6" s="4" customFormat="1" ht="15.6">
      <c r="A75" s="27" t="s">
        <v>124</v>
      </c>
      <c r="B75" s="41" t="s">
        <v>125</v>
      </c>
      <c r="C75" s="12"/>
      <c r="D75" s="17"/>
      <c r="E75" s="200"/>
      <c r="F75" s="252"/>
    </row>
    <row r="76" spans="1:6" s="4" customFormat="1" ht="15.6">
      <c r="A76" s="27" t="s">
        <v>126</v>
      </c>
      <c r="B76" s="28" t="s">
        <v>319</v>
      </c>
      <c r="C76" s="12" t="s">
        <v>7</v>
      </c>
      <c r="D76" s="17">
        <v>27.7</v>
      </c>
      <c r="E76" s="200"/>
      <c r="F76" s="252">
        <f>D76*E76</f>
        <v>0</v>
      </c>
    </row>
    <row r="77" spans="1:6" s="4" customFormat="1" ht="15.6">
      <c r="A77" s="27" t="s">
        <v>127</v>
      </c>
      <c r="B77" s="41" t="s">
        <v>129</v>
      </c>
      <c r="C77" s="21"/>
      <c r="D77" s="17"/>
      <c r="E77" s="204"/>
      <c r="F77" s="252"/>
    </row>
    <row r="78" spans="1:6" s="4" customFormat="1" ht="15.6" thickBot="1">
      <c r="A78" s="34" t="s">
        <v>128</v>
      </c>
      <c r="B78" s="28" t="s">
        <v>291</v>
      </c>
      <c r="C78" s="35" t="s">
        <v>4</v>
      </c>
      <c r="D78" s="17">
        <f>(27.7*2+6*4)*0.4</f>
        <v>31.760000000000005</v>
      </c>
      <c r="E78" s="211"/>
      <c r="F78" s="252">
        <f>D78*E78</f>
        <v>0</v>
      </c>
    </row>
    <row r="79" spans="1:6" s="4" customFormat="1" ht="16.2" thickBot="1">
      <c r="A79" s="55"/>
      <c r="B79" s="52" t="s">
        <v>155</v>
      </c>
      <c r="C79" s="53"/>
      <c r="D79" s="54"/>
      <c r="E79" s="205"/>
      <c r="F79" s="255">
        <f>SUM(F74:F78)</f>
        <v>0</v>
      </c>
    </row>
    <row r="80" spans="1:6" s="4" customFormat="1" ht="15.6">
      <c r="A80" s="14"/>
      <c r="B80" s="42"/>
      <c r="C80" s="12"/>
      <c r="D80" s="17"/>
      <c r="E80" s="200"/>
      <c r="F80" s="252"/>
    </row>
    <row r="81" spans="1:6" s="4" customFormat="1" ht="15.6">
      <c r="A81" s="92" t="s">
        <v>47</v>
      </c>
      <c r="B81" s="89" t="s">
        <v>48</v>
      </c>
      <c r="C81" s="87"/>
      <c r="D81" s="88"/>
      <c r="E81" s="208"/>
      <c r="F81" s="253"/>
    </row>
    <row r="82" spans="1:6" s="4" customFormat="1" ht="15.6">
      <c r="A82" s="14"/>
      <c r="B82" s="42"/>
      <c r="C82" s="12"/>
      <c r="D82" s="17"/>
      <c r="E82" s="200"/>
      <c r="F82" s="252"/>
    </row>
    <row r="83" spans="1:6" s="4" customFormat="1" ht="15.6">
      <c r="A83" s="16" t="s">
        <v>49</v>
      </c>
      <c r="B83" s="42" t="s">
        <v>51</v>
      </c>
      <c r="C83" s="12"/>
      <c r="D83" s="17"/>
      <c r="E83" s="200"/>
      <c r="F83" s="252"/>
    </row>
    <row r="84" spans="1:6" s="4" customFormat="1" ht="15.6" thickBot="1">
      <c r="A84" s="28" t="s">
        <v>50</v>
      </c>
      <c r="B84" s="43" t="s">
        <v>160</v>
      </c>
      <c r="C84" s="12" t="s">
        <v>130</v>
      </c>
      <c r="D84" s="17">
        <v>1</v>
      </c>
      <c r="E84" s="200"/>
      <c r="F84" s="252">
        <f>D84*E84</f>
        <v>0</v>
      </c>
    </row>
    <row r="85" spans="1:6" s="4" customFormat="1" ht="16.2" thickBot="1">
      <c r="A85" s="80"/>
      <c r="B85" s="81" t="s">
        <v>156</v>
      </c>
      <c r="C85" s="78"/>
      <c r="D85" s="77"/>
      <c r="E85" s="212"/>
      <c r="F85" s="254">
        <f>F84</f>
        <v>0</v>
      </c>
    </row>
    <row r="86" spans="1:6" s="4" customFormat="1" ht="15.6">
      <c r="A86" s="40"/>
      <c r="B86" s="41"/>
      <c r="C86" s="44"/>
      <c r="D86" s="45"/>
      <c r="E86" s="206"/>
      <c r="F86" s="252"/>
    </row>
    <row r="87" spans="1:6" s="4" customFormat="1" ht="15.6">
      <c r="A87" s="92" t="s">
        <v>53</v>
      </c>
      <c r="B87" s="93" t="s">
        <v>55</v>
      </c>
      <c r="C87" s="94"/>
      <c r="D87" s="95"/>
      <c r="E87" s="213"/>
      <c r="F87" s="253"/>
    </row>
    <row r="88" spans="1:6" s="4" customFormat="1" ht="15.6">
      <c r="A88" s="14"/>
      <c r="B88" s="46"/>
      <c r="C88" s="21"/>
      <c r="D88" s="22"/>
      <c r="E88" s="204"/>
      <c r="F88" s="252"/>
    </row>
    <row r="89" spans="1:6" s="4" customFormat="1" ht="15.6">
      <c r="A89" s="15" t="s">
        <v>276</v>
      </c>
      <c r="B89" s="46" t="s">
        <v>133</v>
      </c>
      <c r="C89" s="12"/>
      <c r="D89" s="17"/>
      <c r="E89" s="200"/>
      <c r="F89" s="252"/>
    </row>
    <row r="90" spans="1:6" s="4" customFormat="1">
      <c r="A90" s="15" t="s">
        <v>277</v>
      </c>
      <c r="B90" s="16" t="s">
        <v>280</v>
      </c>
      <c r="C90" s="12" t="s">
        <v>9</v>
      </c>
      <c r="D90" s="17">
        <v>3</v>
      </c>
      <c r="E90" s="200"/>
      <c r="F90" s="252">
        <f>D90*E90</f>
        <v>0</v>
      </c>
    </row>
    <row r="91" spans="1:6" s="4" customFormat="1">
      <c r="A91" s="15" t="s">
        <v>277</v>
      </c>
      <c r="B91" s="16" t="s">
        <v>310</v>
      </c>
      <c r="C91" s="12" t="s">
        <v>9</v>
      </c>
      <c r="D91" s="17">
        <v>3</v>
      </c>
      <c r="E91" s="200"/>
      <c r="F91" s="252">
        <f>D91*E91</f>
        <v>0</v>
      </c>
    </row>
    <row r="92" spans="1:6" s="4" customFormat="1" ht="15.6">
      <c r="A92" s="15" t="s">
        <v>298</v>
      </c>
      <c r="B92" s="46" t="s">
        <v>134</v>
      </c>
      <c r="C92" s="12"/>
      <c r="D92" s="17"/>
      <c r="E92" s="200"/>
      <c r="F92" s="252"/>
    </row>
    <row r="93" spans="1:6" s="4" customFormat="1" ht="15.6" thickBot="1">
      <c r="A93" s="15" t="s">
        <v>299</v>
      </c>
      <c r="B93" s="16" t="s">
        <v>292</v>
      </c>
      <c r="C93" s="12" t="s">
        <v>9</v>
      </c>
      <c r="D93" s="17">
        <v>3</v>
      </c>
      <c r="E93" s="200"/>
      <c r="F93" s="252">
        <f>D93*E93</f>
        <v>0</v>
      </c>
    </row>
    <row r="94" spans="1:6" s="4" customFormat="1" ht="16.2" thickBot="1">
      <c r="A94" s="80"/>
      <c r="B94" s="75" t="s">
        <v>157</v>
      </c>
      <c r="C94" s="76"/>
      <c r="D94" s="79"/>
      <c r="E94" s="214"/>
      <c r="F94" s="254">
        <f>SUM(F90:F93)</f>
        <v>0</v>
      </c>
    </row>
    <row r="95" spans="1:6" s="4" customFormat="1" ht="15.6">
      <c r="A95" s="14"/>
      <c r="B95" s="11"/>
      <c r="C95" s="12"/>
      <c r="D95" s="17"/>
      <c r="E95" s="200"/>
      <c r="F95" s="252"/>
    </row>
    <row r="96" spans="1:6" s="4" customFormat="1" ht="15.6">
      <c r="A96" s="92" t="s">
        <v>72</v>
      </c>
      <c r="B96" s="96" t="s">
        <v>11</v>
      </c>
      <c r="C96" s="87"/>
      <c r="D96" s="95"/>
      <c r="E96" s="213"/>
      <c r="F96" s="253"/>
    </row>
    <row r="97" spans="1:7" s="4" customFormat="1" ht="15.6">
      <c r="A97" s="14"/>
      <c r="B97" s="11"/>
      <c r="C97" s="12"/>
      <c r="D97" s="22"/>
      <c r="E97" s="204"/>
      <c r="F97" s="252"/>
    </row>
    <row r="98" spans="1:7" s="29" customFormat="1" ht="15.6">
      <c r="A98" s="15" t="s">
        <v>131</v>
      </c>
      <c r="B98" s="46" t="s">
        <v>135</v>
      </c>
      <c r="C98" s="48"/>
      <c r="D98" s="45"/>
      <c r="E98" s="215"/>
      <c r="F98" s="252"/>
      <c r="G98" s="4"/>
    </row>
    <row r="99" spans="1:7" s="29" customFormat="1">
      <c r="A99" s="15" t="s">
        <v>161</v>
      </c>
      <c r="B99" s="47" t="s">
        <v>59</v>
      </c>
      <c r="C99" s="12" t="s">
        <v>4</v>
      </c>
      <c r="D99" s="17">
        <f>(26.7*2+7.23*2)*2</f>
        <v>135.72</v>
      </c>
      <c r="E99" s="200"/>
      <c r="F99" s="252">
        <f>D99*E99</f>
        <v>0</v>
      </c>
      <c r="G99" s="4"/>
    </row>
    <row r="100" spans="1:7" s="29" customFormat="1" ht="30.6">
      <c r="A100" s="15" t="s">
        <v>300</v>
      </c>
      <c r="B100" s="47" t="s">
        <v>136</v>
      </c>
      <c r="C100" s="12" t="s">
        <v>4</v>
      </c>
      <c r="D100" s="17">
        <f>1.5*(26.7*2+7.23*2)</f>
        <v>101.78999999999999</v>
      </c>
      <c r="E100" s="200"/>
      <c r="F100" s="252">
        <f>D100*E100</f>
        <v>0</v>
      </c>
      <c r="G100" s="4"/>
    </row>
    <row r="101" spans="1:7" s="4" customFormat="1" ht="15.6">
      <c r="A101" s="15" t="s">
        <v>132</v>
      </c>
      <c r="B101" s="46" t="s">
        <v>137</v>
      </c>
      <c r="C101" s="12"/>
      <c r="D101" s="17"/>
      <c r="E101" s="200"/>
      <c r="F101" s="252"/>
    </row>
    <row r="102" spans="1:7" s="4" customFormat="1">
      <c r="A102" s="15" t="s">
        <v>162</v>
      </c>
      <c r="B102" s="47" t="s">
        <v>60</v>
      </c>
      <c r="C102" s="12" t="s">
        <v>4</v>
      </c>
      <c r="D102" s="17">
        <f>3.5*(26.7*2+7.23*6)</f>
        <v>338.73</v>
      </c>
      <c r="E102" s="200"/>
      <c r="F102" s="252">
        <f>D102*E102</f>
        <v>0</v>
      </c>
    </row>
    <row r="103" spans="1:7" s="4" customFormat="1" ht="15.6">
      <c r="A103" s="16" t="s">
        <v>301</v>
      </c>
      <c r="B103" s="46" t="s">
        <v>138</v>
      </c>
      <c r="C103" s="12"/>
      <c r="D103" s="17"/>
      <c r="E103" s="204"/>
      <c r="F103" s="252"/>
    </row>
    <row r="104" spans="1:7" s="4" customFormat="1" ht="15" customHeight="1">
      <c r="A104" s="16" t="s">
        <v>302</v>
      </c>
      <c r="B104" s="47" t="s">
        <v>139</v>
      </c>
      <c r="C104" s="12" t="s">
        <v>4</v>
      </c>
      <c r="D104" s="17">
        <f>3*1.45*2.2*2+4*2*1*2.2</f>
        <v>36.74</v>
      </c>
      <c r="E104" s="200"/>
      <c r="F104" s="252">
        <f>D104*E104</f>
        <v>0</v>
      </c>
    </row>
    <row r="105" spans="1:7" s="4" customFormat="1" ht="15.6">
      <c r="A105" s="16" t="s">
        <v>309</v>
      </c>
      <c r="B105" s="46" t="s">
        <v>281</v>
      </c>
      <c r="C105" s="12"/>
      <c r="D105" s="17"/>
      <c r="E105" s="200"/>
      <c r="F105" s="252"/>
    </row>
    <row r="106" spans="1:7" s="4" customFormat="1">
      <c r="A106" s="16" t="s">
        <v>308</v>
      </c>
      <c r="B106" s="47" t="s">
        <v>304</v>
      </c>
      <c r="C106" s="12" t="s">
        <v>4</v>
      </c>
      <c r="D106" s="17">
        <f>6*1.4*3+3*3*1.4</f>
        <v>37.799999999999997</v>
      </c>
      <c r="E106" s="200"/>
      <c r="F106" s="252">
        <f>D106*E106</f>
        <v>0</v>
      </c>
    </row>
    <row r="107" spans="1:7" s="4" customFormat="1" ht="15.6" thickBot="1">
      <c r="A107" s="16" t="s">
        <v>307</v>
      </c>
      <c r="B107" s="47" t="s">
        <v>140</v>
      </c>
      <c r="C107" s="12" t="s">
        <v>4</v>
      </c>
      <c r="D107" s="17">
        <f>6*1.4*3+3*3*1.4</f>
        <v>37.799999999999997</v>
      </c>
      <c r="E107" s="200"/>
      <c r="F107" s="252">
        <f>D107*E107</f>
        <v>0</v>
      </c>
    </row>
    <row r="108" spans="1:7" s="4" customFormat="1" ht="16.2" thickBot="1">
      <c r="A108" s="74"/>
      <c r="B108" s="75" t="s">
        <v>158</v>
      </c>
      <c r="C108" s="76"/>
      <c r="D108" s="77"/>
      <c r="E108" s="78"/>
      <c r="F108" s="251">
        <f>SUM(F98:F107)</f>
        <v>0</v>
      </c>
    </row>
    <row r="109" spans="1:7" s="39" customFormat="1" ht="16.2" thickBot="1">
      <c r="A109" s="188"/>
      <c r="B109" s="189"/>
      <c r="C109" s="190"/>
      <c r="D109" s="191"/>
      <c r="E109" s="192"/>
      <c r="F109" s="249"/>
    </row>
    <row r="110" spans="1:7" s="4" customFormat="1" ht="16.2" thickBot="1">
      <c r="A110" s="58"/>
      <c r="B110" s="59" t="s">
        <v>306</v>
      </c>
      <c r="C110" s="60"/>
      <c r="D110" s="61"/>
      <c r="E110" s="62"/>
      <c r="F110" s="248">
        <f>F108+F94+F85+F79+F69+F62+F14</f>
        <v>0</v>
      </c>
    </row>
    <row r="111" spans="1:7" s="39" customFormat="1" ht="16.2" thickBot="1">
      <c r="A111" s="188"/>
      <c r="B111" s="250"/>
      <c r="C111" s="190"/>
      <c r="D111" s="191"/>
      <c r="E111" s="192"/>
      <c r="F111" s="249"/>
    </row>
    <row r="112" spans="1:7" s="4" customFormat="1" ht="16.2" thickBot="1">
      <c r="A112" s="58"/>
      <c r="B112" s="59" t="s">
        <v>282</v>
      </c>
      <c r="C112" s="60"/>
      <c r="D112" s="193">
        <v>0.15</v>
      </c>
      <c r="E112" s="62"/>
      <c r="F112" s="248">
        <f>F110*D112</f>
        <v>0</v>
      </c>
    </row>
    <row r="113" spans="1:6" s="39" customFormat="1" ht="16.2" thickBot="1">
      <c r="A113" s="30"/>
      <c r="B113" s="232"/>
      <c r="C113" s="233"/>
      <c r="D113" s="234"/>
      <c r="E113" s="235"/>
      <c r="F113" s="247"/>
    </row>
    <row r="114" spans="1:6" s="4" customFormat="1" ht="16.2" thickBot="1">
      <c r="A114" s="58"/>
      <c r="B114" s="59" t="s">
        <v>305</v>
      </c>
      <c r="C114" s="60"/>
      <c r="D114" s="61"/>
      <c r="E114" s="62"/>
      <c r="F114" s="248">
        <f>F112+F110</f>
        <v>0</v>
      </c>
    </row>
    <row r="115" spans="1:6" s="39" customFormat="1" ht="15.6">
      <c r="A115" s="30"/>
      <c r="B115" s="232"/>
      <c r="C115" s="233"/>
      <c r="D115" s="234"/>
      <c r="E115" s="235"/>
      <c r="F115" s="247"/>
    </row>
  </sheetData>
  <sheetProtection selectLockedCells="1"/>
  <mergeCells count="2">
    <mergeCell ref="B4:C4"/>
    <mergeCell ref="A5:F5"/>
  </mergeCells>
  <pageMargins left="0.7" right="0.7" top="0.75" bottom="0.75" header="0.3" footer="0.3"/>
  <pageSetup paperSize="9" scale="55" fitToHeight="4" orientation="portrait" r:id="rId1"/>
  <rowBreaks count="1" manualBreakCount="1">
    <brk id="7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77FC-048B-4515-950F-D68FB8D21A9B}">
  <sheetPr>
    <tabColor theme="0"/>
  </sheetPr>
  <dimension ref="A1:H135"/>
  <sheetViews>
    <sheetView view="pageBreakPreview" topLeftCell="A79" zoomScaleNormal="100" zoomScaleSheetLayoutView="100" workbookViewId="0">
      <selection activeCell="B87" sqref="B87"/>
    </sheetView>
  </sheetViews>
  <sheetFormatPr baseColWidth="10" defaultRowHeight="14.4"/>
  <cols>
    <col min="2" max="2" width="53.21875" customWidth="1"/>
    <col min="3" max="3" width="7.21875" customWidth="1"/>
    <col min="6" max="6" width="15.5546875" customWidth="1"/>
  </cols>
  <sheetData>
    <row r="1" spans="1:6" ht="89.55" customHeight="1">
      <c r="A1" s="279"/>
      <c r="B1" s="279"/>
      <c r="C1" s="279"/>
      <c r="D1" s="279"/>
      <c r="E1" s="279"/>
      <c r="F1" s="279"/>
    </row>
    <row r="2" spans="1:6">
      <c r="D2" s="187"/>
    </row>
    <row r="3" spans="1:6" s="196" customFormat="1" ht="17.25" customHeight="1">
      <c r="A3" s="280" t="s">
        <v>287</v>
      </c>
      <c r="B3" s="281"/>
      <c r="C3" s="281"/>
      <c r="D3" s="281"/>
      <c r="E3" s="281"/>
      <c r="F3" s="282"/>
    </row>
    <row r="4" spans="1:6" s="28" customFormat="1" ht="12.75" customHeight="1" thickBot="1">
      <c r="A4" s="110"/>
      <c r="B4" s="110"/>
      <c r="C4" s="111"/>
      <c r="D4" s="112"/>
      <c r="E4" s="111"/>
      <c r="F4" s="111"/>
    </row>
    <row r="5" spans="1:6" s="28" customFormat="1" ht="29.4" thickTop="1">
      <c r="A5" s="113" t="s">
        <v>12</v>
      </c>
      <c r="B5" s="114" t="s">
        <v>8</v>
      </c>
      <c r="C5" s="115" t="s">
        <v>0</v>
      </c>
      <c r="D5" s="116" t="s">
        <v>2</v>
      </c>
      <c r="E5" s="115" t="s">
        <v>3</v>
      </c>
      <c r="F5" s="115" t="s">
        <v>1</v>
      </c>
    </row>
    <row r="6" spans="1:6" s="28" customFormat="1" ht="15.6">
      <c r="A6" s="117"/>
      <c r="B6" s="118"/>
      <c r="C6" s="119"/>
      <c r="D6" s="120"/>
      <c r="E6" s="216"/>
      <c r="F6" s="119"/>
    </row>
    <row r="7" spans="1:6" s="28" customFormat="1" ht="18" customHeight="1">
      <c r="A7" s="121" t="s">
        <v>13</v>
      </c>
      <c r="B7" s="122" t="s">
        <v>173</v>
      </c>
      <c r="C7" s="123"/>
      <c r="D7" s="124"/>
      <c r="E7" s="217"/>
      <c r="F7" s="123"/>
    </row>
    <row r="8" spans="1:6" s="30" customFormat="1" ht="18" customHeight="1">
      <c r="A8" s="125" t="s">
        <v>68</v>
      </c>
      <c r="B8" s="126" t="s">
        <v>278</v>
      </c>
      <c r="C8" s="127" t="s">
        <v>174</v>
      </c>
      <c r="D8" s="128">
        <v>0</v>
      </c>
      <c r="E8" s="218"/>
      <c r="F8" s="129">
        <f>D8*E8</f>
        <v>0</v>
      </c>
    </row>
    <row r="9" spans="1:6" s="30" customFormat="1" ht="18" customHeight="1">
      <c r="A9" s="125" t="s">
        <v>5</v>
      </c>
      <c r="B9" s="126" t="s">
        <v>167</v>
      </c>
      <c r="C9" s="127" t="s">
        <v>174</v>
      </c>
      <c r="D9" s="128">
        <v>0</v>
      </c>
      <c r="E9" s="218"/>
      <c r="F9" s="129">
        <f>D9*E9</f>
        <v>0</v>
      </c>
    </row>
    <row r="10" spans="1:6" s="30" customFormat="1" ht="18" customHeight="1">
      <c r="A10" s="125" t="s">
        <v>69</v>
      </c>
      <c r="B10" s="126">
        <v>1</v>
      </c>
      <c r="C10" s="127" t="s">
        <v>174</v>
      </c>
      <c r="D10" s="128">
        <v>1</v>
      </c>
      <c r="E10" s="218"/>
      <c r="F10" s="129">
        <f>D10*E10</f>
        <v>0</v>
      </c>
    </row>
    <row r="11" spans="1:6" s="28" customFormat="1" ht="15.6">
      <c r="A11" s="117"/>
      <c r="B11" s="130" t="s">
        <v>175</v>
      </c>
      <c r="C11" s="131"/>
      <c r="D11" s="132"/>
      <c r="E11" s="219"/>
      <c r="F11" s="133">
        <f>SUM(F8:F10)</f>
        <v>0</v>
      </c>
    </row>
    <row r="12" spans="1:6" s="28" customFormat="1" ht="15.6">
      <c r="A12" s="117"/>
      <c r="B12" s="118"/>
      <c r="C12" s="119"/>
      <c r="D12" s="134"/>
      <c r="E12" s="220"/>
      <c r="F12" s="135"/>
    </row>
    <row r="13" spans="1:6" s="28" customFormat="1" ht="15.6">
      <c r="A13" s="121" t="s">
        <v>14</v>
      </c>
      <c r="B13" s="122" t="s">
        <v>15</v>
      </c>
      <c r="C13" s="123"/>
      <c r="D13" s="124"/>
      <c r="E13" s="217"/>
      <c r="F13" s="123"/>
    </row>
    <row r="14" spans="1:6" s="28" customFormat="1" ht="17.25" customHeight="1">
      <c r="A14" s="136">
        <v>2</v>
      </c>
      <c r="B14" s="137" t="s">
        <v>176</v>
      </c>
      <c r="C14" s="138"/>
      <c r="D14" s="139"/>
      <c r="E14" s="221"/>
      <c r="F14" s="135"/>
    </row>
    <row r="15" spans="1:6" s="30" customFormat="1" ht="17.25" customHeight="1">
      <c r="A15" s="125" t="s">
        <v>78</v>
      </c>
      <c r="B15" s="140" t="s">
        <v>285</v>
      </c>
      <c r="C15" s="141" t="s">
        <v>273</v>
      </c>
      <c r="D15" s="142">
        <f>49.75*0.85*0.6</f>
        <v>25.372499999999999</v>
      </c>
      <c r="E15" s="222"/>
      <c r="F15" s="129">
        <f>D15*E15</f>
        <v>0</v>
      </c>
    </row>
    <row r="16" spans="1:6" s="30" customFormat="1" ht="17.25" customHeight="1">
      <c r="A16" s="125" t="s">
        <v>80</v>
      </c>
      <c r="B16" s="140" t="s">
        <v>177</v>
      </c>
      <c r="C16" s="141" t="s">
        <v>273</v>
      </c>
      <c r="D16" s="142">
        <f>49.75*0.45*0.4</f>
        <v>8.9550000000000001</v>
      </c>
      <c r="E16" s="222"/>
      <c r="F16" s="129">
        <f>D16*E16</f>
        <v>0</v>
      </c>
    </row>
    <row r="17" spans="1:6" s="30" customFormat="1" ht="17.25" customHeight="1">
      <c r="A17" s="125" t="s">
        <v>81</v>
      </c>
      <c r="B17" s="140" t="s">
        <v>178</v>
      </c>
      <c r="C17" s="141" t="s">
        <v>273</v>
      </c>
      <c r="D17" s="142">
        <f>12*7.45*0.75</f>
        <v>67.050000000000011</v>
      </c>
      <c r="E17" s="222"/>
      <c r="F17" s="129">
        <f>D17*E17</f>
        <v>0</v>
      </c>
    </row>
    <row r="18" spans="1:6" s="28" customFormat="1" ht="15.6">
      <c r="A18" s="143"/>
      <c r="B18" s="144" t="s">
        <v>179</v>
      </c>
      <c r="C18" s="145"/>
      <c r="D18" s="146"/>
      <c r="E18" s="223"/>
      <c r="F18" s="147">
        <f>SUM(F15:F17)</f>
        <v>0</v>
      </c>
    </row>
    <row r="19" spans="1:6" s="28" customFormat="1" ht="15.6">
      <c r="A19" s="143"/>
      <c r="B19" s="148"/>
      <c r="C19" s="119"/>
      <c r="D19" s="134"/>
      <c r="E19" s="220"/>
      <c r="F19" s="135"/>
    </row>
    <row r="20" spans="1:6" s="28" customFormat="1" ht="17.25" customHeight="1">
      <c r="A20" s="136" t="s">
        <v>16</v>
      </c>
      <c r="B20" s="137" t="s">
        <v>180</v>
      </c>
      <c r="C20" s="138"/>
      <c r="D20" s="139"/>
      <c r="E20" s="221"/>
      <c r="F20" s="135"/>
    </row>
    <row r="21" spans="1:6" s="28" customFormat="1" ht="17.25" customHeight="1">
      <c r="A21" s="149" t="s">
        <v>17</v>
      </c>
      <c r="B21" s="150" t="s">
        <v>19</v>
      </c>
      <c r="C21" s="138"/>
      <c r="D21" s="120"/>
      <c r="E21" s="221"/>
      <c r="F21" s="135"/>
    </row>
    <row r="22" spans="1:6" s="30" customFormat="1" ht="17.25" customHeight="1">
      <c r="A22" s="125" t="s">
        <v>87</v>
      </c>
      <c r="B22" s="126" t="s">
        <v>181</v>
      </c>
      <c r="C22" s="127"/>
      <c r="D22" s="142"/>
      <c r="E22" s="222"/>
      <c r="F22" s="129"/>
    </row>
    <row r="23" spans="1:6" s="30" customFormat="1" ht="17.25" customHeight="1">
      <c r="A23" s="125" t="s">
        <v>182</v>
      </c>
      <c r="B23" s="126" t="s">
        <v>20</v>
      </c>
      <c r="C23" s="127" t="s">
        <v>10</v>
      </c>
      <c r="D23" s="142">
        <f>49.75*0.6*0.2</f>
        <v>5.97</v>
      </c>
      <c r="E23" s="222"/>
      <c r="F23" s="129">
        <f t="shared" ref="F23:F36" si="0">D23*E23</f>
        <v>0</v>
      </c>
    </row>
    <row r="24" spans="1:6" s="30" customFormat="1" ht="17.25" customHeight="1">
      <c r="A24" s="125" t="s">
        <v>183</v>
      </c>
      <c r="B24" s="126" t="s">
        <v>286</v>
      </c>
      <c r="C24" s="127" t="s">
        <v>23</v>
      </c>
      <c r="D24" s="142">
        <f>D23*80</f>
        <v>477.59999999999997</v>
      </c>
      <c r="E24" s="222"/>
      <c r="F24" s="129">
        <f t="shared" si="0"/>
        <v>0</v>
      </c>
    </row>
    <row r="25" spans="1:6" s="30" customFormat="1" ht="17.25" customHeight="1">
      <c r="A25" s="125" t="s">
        <v>88</v>
      </c>
      <c r="B25" s="126" t="s">
        <v>184</v>
      </c>
      <c r="C25" s="127"/>
      <c r="D25" s="142"/>
      <c r="E25" s="222"/>
      <c r="F25" s="129"/>
    </row>
    <row r="26" spans="1:6" s="30" customFormat="1" ht="17.25" customHeight="1">
      <c r="A26" s="125" t="s">
        <v>185</v>
      </c>
      <c r="B26" s="126" t="s">
        <v>20</v>
      </c>
      <c r="C26" s="127" t="s">
        <v>10</v>
      </c>
      <c r="D26" s="142">
        <f>11*0.15*0.15*0.8</f>
        <v>0.19799999999999998</v>
      </c>
      <c r="E26" s="222"/>
      <c r="F26" s="129">
        <f t="shared" si="0"/>
        <v>0</v>
      </c>
    </row>
    <row r="27" spans="1:6" s="30" customFormat="1" ht="17.25" customHeight="1">
      <c r="A27" s="125" t="s">
        <v>183</v>
      </c>
      <c r="B27" s="126" t="s">
        <v>286</v>
      </c>
      <c r="C27" s="127" t="s">
        <v>23</v>
      </c>
      <c r="D27" s="142">
        <f>D26*80</f>
        <v>15.839999999999998</v>
      </c>
      <c r="E27" s="222"/>
      <c r="F27" s="129">
        <f t="shared" si="0"/>
        <v>0</v>
      </c>
    </row>
    <row r="28" spans="1:6" s="30" customFormat="1" ht="17.25" customHeight="1">
      <c r="A28" s="125" t="s">
        <v>186</v>
      </c>
      <c r="B28" s="126" t="s">
        <v>21</v>
      </c>
      <c r="C28" s="127" t="s">
        <v>4</v>
      </c>
      <c r="D28" s="142">
        <f>D26*12</f>
        <v>2.3759999999999999</v>
      </c>
      <c r="E28" s="222"/>
      <c r="F28" s="129">
        <f t="shared" si="0"/>
        <v>0</v>
      </c>
    </row>
    <row r="29" spans="1:6" s="30" customFormat="1" ht="17.25" customHeight="1">
      <c r="A29" s="125" t="s">
        <v>89</v>
      </c>
      <c r="B29" s="126" t="s">
        <v>187</v>
      </c>
      <c r="C29" s="127"/>
      <c r="D29" s="142"/>
      <c r="E29" s="222"/>
      <c r="F29" s="129"/>
    </row>
    <row r="30" spans="1:6" s="30" customFormat="1" ht="17.25" customHeight="1">
      <c r="A30" s="125" t="s">
        <v>188</v>
      </c>
      <c r="B30" s="126" t="s">
        <v>20</v>
      </c>
      <c r="C30" s="127" t="s">
        <v>10</v>
      </c>
      <c r="D30" s="142">
        <f>49.75*0.2*0.15</f>
        <v>1.4925000000000002</v>
      </c>
      <c r="E30" s="222"/>
      <c r="F30" s="129">
        <f t="shared" si="0"/>
        <v>0</v>
      </c>
    </row>
    <row r="31" spans="1:6" s="30" customFormat="1" ht="17.25" customHeight="1">
      <c r="A31" s="125" t="s">
        <v>189</v>
      </c>
      <c r="B31" s="126" t="s">
        <v>286</v>
      </c>
      <c r="C31" s="127" t="s">
        <v>23</v>
      </c>
      <c r="D31" s="142">
        <f>D30*80</f>
        <v>119.4</v>
      </c>
      <c r="E31" s="222"/>
      <c r="F31" s="129">
        <f t="shared" si="0"/>
        <v>0</v>
      </c>
    </row>
    <row r="32" spans="1:6" s="30" customFormat="1" ht="17.25" customHeight="1">
      <c r="A32" s="125" t="s">
        <v>190</v>
      </c>
      <c r="B32" s="126" t="s">
        <v>21</v>
      </c>
      <c r="C32" s="127" t="s">
        <v>4</v>
      </c>
      <c r="D32" s="142">
        <f>D30*12</f>
        <v>17.910000000000004</v>
      </c>
      <c r="E32" s="222"/>
      <c r="F32" s="129">
        <f t="shared" si="0"/>
        <v>0</v>
      </c>
    </row>
    <row r="33" spans="1:6" s="30" customFormat="1" ht="17.25" customHeight="1">
      <c r="A33" s="125" t="s">
        <v>90</v>
      </c>
      <c r="B33" s="126" t="s">
        <v>191</v>
      </c>
      <c r="C33" s="127" t="s">
        <v>4</v>
      </c>
      <c r="D33" s="142">
        <f>49.75*1.1</f>
        <v>54.725000000000001</v>
      </c>
      <c r="E33" s="222"/>
      <c r="F33" s="129">
        <f t="shared" si="0"/>
        <v>0</v>
      </c>
    </row>
    <row r="34" spans="1:6" s="30" customFormat="1" ht="17.25" customHeight="1">
      <c r="A34" s="125" t="s">
        <v>91</v>
      </c>
      <c r="B34" s="126" t="s">
        <v>192</v>
      </c>
      <c r="C34" s="127"/>
      <c r="D34" s="142"/>
      <c r="E34" s="222"/>
      <c r="F34" s="129"/>
    </row>
    <row r="35" spans="1:6" s="28" customFormat="1" ht="17.25" customHeight="1">
      <c r="A35" s="151" t="s">
        <v>193</v>
      </c>
      <c r="B35" s="152" t="s">
        <v>20</v>
      </c>
      <c r="C35" s="153" t="s">
        <v>10</v>
      </c>
      <c r="D35" s="120">
        <f>12*7.45*0.1</f>
        <v>8.9400000000000013</v>
      </c>
      <c r="E35" s="222"/>
      <c r="F35" s="135">
        <f t="shared" ref="F35" si="1">D35*E35</f>
        <v>0</v>
      </c>
    </row>
    <row r="36" spans="1:6" s="28" customFormat="1" ht="17.25" customHeight="1">
      <c r="A36" s="151" t="s">
        <v>193</v>
      </c>
      <c r="B36" s="126" t="s">
        <v>295</v>
      </c>
      <c r="C36" s="153" t="s">
        <v>10</v>
      </c>
      <c r="D36" s="120">
        <f>D35*60</f>
        <v>536.40000000000009</v>
      </c>
      <c r="E36" s="222"/>
      <c r="F36" s="135">
        <f t="shared" si="0"/>
        <v>0</v>
      </c>
    </row>
    <row r="37" spans="1:6" s="28" customFormat="1" ht="17.25" customHeight="1">
      <c r="A37" s="151"/>
      <c r="B37" s="153"/>
      <c r="C37" s="138"/>
      <c r="D37" s="120"/>
      <c r="E37" s="221"/>
      <c r="F37" s="135"/>
    </row>
    <row r="38" spans="1:6" s="30" customFormat="1" ht="17.25" customHeight="1">
      <c r="A38" s="154" t="s">
        <v>24</v>
      </c>
      <c r="B38" s="155" t="s">
        <v>25</v>
      </c>
      <c r="C38" s="141"/>
      <c r="D38" s="142"/>
      <c r="E38" s="222"/>
      <c r="F38" s="129"/>
    </row>
    <row r="39" spans="1:6" s="30" customFormat="1" ht="17.25" customHeight="1">
      <c r="A39" s="125" t="s">
        <v>26</v>
      </c>
      <c r="B39" s="156" t="s">
        <v>194</v>
      </c>
      <c r="C39" s="127" t="s">
        <v>4</v>
      </c>
      <c r="D39" s="142">
        <f>(3.7*3+7.75*2)*2.57+(7.45+7.4*2)*0.1</f>
        <v>70.586999999999989</v>
      </c>
      <c r="E39" s="222"/>
      <c r="F39" s="129">
        <f>D39*E39</f>
        <v>0</v>
      </c>
    </row>
    <row r="40" spans="1:6" s="30" customFormat="1" ht="17.25" customHeight="1">
      <c r="A40" s="125" t="s">
        <v>148</v>
      </c>
      <c r="B40" s="126" t="s">
        <v>195</v>
      </c>
      <c r="C40" s="127"/>
      <c r="D40" s="142"/>
      <c r="E40" s="222"/>
      <c r="F40" s="129"/>
    </row>
    <row r="41" spans="1:6" s="30" customFormat="1" ht="17.25" customHeight="1">
      <c r="A41" s="125" t="s">
        <v>196</v>
      </c>
      <c r="B41" s="126" t="s">
        <v>20</v>
      </c>
      <c r="C41" s="127" t="s">
        <v>10</v>
      </c>
      <c r="D41" s="142">
        <f>11*0.15*0.15*3.57</f>
        <v>0.88357499999999989</v>
      </c>
      <c r="E41" s="222"/>
      <c r="F41" s="129">
        <f t="shared" ref="F41:F51" si="2">D41*E41</f>
        <v>0</v>
      </c>
    </row>
    <row r="42" spans="1:6" s="30" customFormat="1" ht="17.25" customHeight="1">
      <c r="A42" s="125" t="s">
        <v>197</v>
      </c>
      <c r="B42" s="126" t="s">
        <v>22</v>
      </c>
      <c r="C42" s="127" t="s">
        <v>23</v>
      </c>
      <c r="D42" s="142">
        <f>D41*80</f>
        <v>70.685999999999993</v>
      </c>
      <c r="E42" s="222"/>
      <c r="F42" s="129">
        <f t="shared" si="2"/>
        <v>0</v>
      </c>
    </row>
    <row r="43" spans="1:6" s="30" customFormat="1" ht="17.25" customHeight="1">
      <c r="A43" s="125" t="s">
        <v>198</v>
      </c>
      <c r="B43" s="126" t="s">
        <v>199</v>
      </c>
      <c r="C43" s="127" t="s">
        <v>4</v>
      </c>
      <c r="D43" s="142">
        <v>29.41</v>
      </c>
      <c r="E43" s="222"/>
      <c r="F43" s="129">
        <f t="shared" si="2"/>
        <v>0</v>
      </c>
    </row>
    <row r="44" spans="1:6" s="28" customFormat="1" ht="17.25" customHeight="1">
      <c r="A44" s="151" t="s">
        <v>27</v>
      </c>
      <c r="B44" s="152" t="s">
        <v>200</v>
      </c>
      <c r="C44" s="153"/>
      <c r="D44" s="120"/>
      <c r="E44" s="221"/>
      <c r="F44" s="135"/>
    </row>
    <row r="45" spans="1:6" s="28" customFormat="1" ht="17.25" customHeight="1">
      <c r="A45" s="151" t="s">
        <v>201</v>
      </c>
      <c r="B45" s="152" t="s">
        <v>20</v>
      </c>
      <c r="C45" s="153" t="s">
        <v>10</v>
      </c>
      <c r="D45" s="120">
        <f>D30</f>
        <v>1.4925000000000002</v>
      </c>
      <c r="E45" s="222"/>
      <c r="F45" s="135">
        <f t="shared" si="2"/>
        <v>0</v>
      </c>
    </row>
    <row r="46" spans="1:6" s="28" customFormat="1" ht="17.25" customHeight="1">
      <c r="A46" s="151" t="s">
        <v>202</v>
      </c>
      <c r="B46" s="152" t="s">
        <v>22</v>
      </c>
      <c r="C46" s="153" t="s">
        <v>23</v>
      </c>
      <c r="D46" s="120">
        <f>D45*80</f>
        <v>119.4</v>
      </c>
      <c r="E46" s="222"/>
      <c r="F46" s="135">
        <f t="shared" si="2"/>
        <v>0</v>
      </c>
    </row>
    <row r="47" spans="1:6" s="28" customFormat="1" ht="17.25" customHeight="1">
      <c r="A47" s="151" t="s">
        <v>203</v>
      </c>
      <c r="B47" s="126" t="s">
        <v>199</v>
      </c>
      <c r="C47" s="153" t="s">
        <v>4</v>
      </c>
      <c r="D47" s="120">
        <f>D45*12</f>
        <v>17.910000000000004</v>
      </c>
      <c r="E47" s="222"/>
      <c r="F47" s="135">
        <f t="shared" si="2"/>
        <v>0</v>
      </c>
    </row>
    <row r="48" spans="1:6" s="28" customFormat="1" ht="17.25" customHeight="1">
      <c r="A48" s="151" t="s">
        <v>29</v>
      </c>
      <c r="B48" s="152" t="s">
        <v>204</v>
      </c>
      <c r="C48" s="153"/>
      <c r="D48" s="120"/>
      <c r="E48" s="221"/>
      <c r="F48" s="135"/>
    </row>
    <row r="49" spans="1:6" s="28" customFormat="1" ht="17.25" customHeight="1">
      <c r="A49" s="151" t="s">
        <v>205</v>
      </c>
      <c r="B49" s="152" t="s">
        <v>20</v>
      </c>
      <c r="C49" s="153" t="s">
        <v>10</v>
      </c>
      <c r="D49" s="120">
        <f>1.5*0.5*0.08</f>
        <v>0.06</v>
      </c>
      <c r="E49" s="222"/>
      <c r="F49" s="135">
        <f t="shared" si="2"/>
        <v>0</v>
      </c>
    </row>
    <row r="50" spans="1:6" s="28" customFormat="1" ht="17.25" customHeight="1">
      <c r="A50" s="151" t="s">
        <v>206</v>
      </c>
      <c r="B50" s="152" t="s">
        <v>22</v>
      </c>
      <c r="C50" s="153" t="s">
        <v>23</v>
      </c>
      <c r="D50" s="120">
        <f>D49*80</f>
        <v>4.8</v>
      </c>
      <c r="E50" s="222"/>
      <c r="F50" s="135">
        <f t="shared" si="2"/>
        <v>0</v>
      </c>
    </row>
    <row r="51" spans="1:6" s="28" customFormat="1" ht="17.25" customHeight="1">
      <c r="A51" s="151" t="s">
        <v>207</v>
      </c>
      <c r="B51" s="126" t="s">
        <v>199</v>
      </c>
      <c r="C51" s="153" t="s">
        <v>4</v>
      </c>
      <c r="D51" s="120">
        <f>D49*12</f>
        <v>0.72</v>
      </c>
      <c r="E51" s="222"/>
      <c r="F51" s="135">
        <f t="shared" si="2"/>
        <v>0</v>
      </c>
    </row>
    <row r="52" spans="1:6" s="28" customFormat="1" ht="17.25" customHeight="1">
      <c r="A52" s="151"/>
      <c r="B52" s="153"/>
      <c r="C52" s="153"/>
      <c r="D52" s="120"/>
      <c r="E52" s="221"/>
      <c r="F52" s="135"/>
    </row>
    <row r="53" spans="1:6" s="28" customFormat="1" ht="17.25" customHeight="1">
      <c r="A53" s="151" t="s">
        <v>208</v>
      </c>
      <c r="B53" s="157" t="s">
        <v>33</v>
      </c>
      <c r="C53" s="153"/>
      <c r="D53" s="120"/>
      <c r="E53" s="221"/>
      <c r="F53" s="135"/>
    </row>
    <row r="54" spans="1:6" s="28" customFormat="1" ht="17.25" customHeight="1">
      <c r="A54" s="151" t="s">
        <v>209</v>
      </c>
      <c r="B54" s="152" t="s">
        <v>210</v>
      </c>
      <c r="C54" s="153" t="s">
        <v>4</v>
      </c>
      <c r="D54" s="120">
        <f>D39*2</f>
        <v>141.17399999999998</v>
      </c>
      <c r="E54" s="221"/>
      <c r="F54" s="135">
        <f>D54*E54</f>
        <v>0</v>
      </c>
    </row>
    <row r="55" spans="1:6" s="28" customFormat="1" ht="17.25" customHeight="1">
      <c r="A55" s="151" t="s">
        <v>211</v>
      </c>
      <c r="B55" s="152" t="s">
        <v>212</v>
      </c>
      <c r="C55" s="153" t="s">
        <v>4</v>
      </c>
      <c r="D55" s="120">
        <v>0</v>
      </c>
      <c r="E55" s="221"/>
      <c r="F55" s="135">
        <f t="shared" ref="F55:F63" si="3">D55*E55</f>
        <v>0</v>
      </c>
    </row>
    <row r="56" spans="1:6" s="28" customFormat="1" ht="17.25" customHeight="1">
      <c r="A56" s="151" t="s">
        <v>213</v>
      </c>
      <c r="B56" s="152" t="s">
        <v>214</v>
      </c>
      <c r="C56" s="153" t="s">
        <v>274</v>
      </c>
      <c r="D56" s="120">
        <v>0</v>
      </c>
      <c r="E56" s="221"/>
      <c r="F56" s="135">
        <f t="shared" si="3"/>
        <v>0</v>
      </c>
    </row>
    <row r="57" spans="1:6" s="28" customFormat="1" ht="17.25" customHeight="1">
      <c r="A57" s="149" t="s">
        <v>6</v>
      </c>
      <c r="B57" s="158" t="s">
        <v>34</v>
      </c>
      <c r="C57" s="153"/>
      <c r="D57" s="120"/>
      <c r="E57" s="221"/>
      <c r="F57" s="135"/>
    </row>
    <row r="58" spans="1:6" s="28" customFormat="1" ht="17.25" customHeight="1">
      <c r="A58" s="151" t="s">
        <v>30</v>
      </c>
      <c r="B58" s="158" t="s">
        <v>35</v>
      </c>
      <c r="C58" s="153"/>
      <c r="D58" s="120"/>
      <c r="E58" s="221"/>
      <c r="F58" s="135"/>
    </row>
    <row r="59" spans="1:6" s="28" customFormat="1" ht="17.25" customHeight="1">
      <c r="A59" s="151" t="s">
        <v>215</v>
      </c>
      <c r="B59" s="152" t="s">
        <v>284</v>
      </c>
      <c r="C59" s="153" t="s">
        <v>9</v>
      </c>
      <c r="D59" s="120">
        <v>3</v>
      </c>
      <c r="E59" s="221"/>
      <c r="F59" s="135">
        <f t="shared" si="3"/>
        <v>0</v>
      </c>
    </row>
    <row r="60" spans="1:6" s="28" customFormat="1" ht="17.25" customHeight="1">
      <c r="A60" s="151" t="s">
        <v>31</v>
      </c>
      <c r="B60" s="158" t="s">
        <v>36</v>
      </c>
      <c r="C60" s="153"/>
      <c r="D60" s="120"/>
      <c r="E60" s="221"/>
      <c r="F60" s="135"/>
    </row>
    <row r="61" spans="1:6" s="28" customFormat="1" ht="17.25" customHeight="1">
      <c r="A61" s="151" t="s">
        <v>32</v>
      </c>
      <c r="B61" s="152" t="s">
        <v>64</v>
      </c>
      <c r="C61" s="153" t="s">
        <v>9</v>
      </c>
      <c r="D61" s="120">
        <v>1</v>
      </c>
      <c r="E61" s="221"/>
      <c r="F61" s="135">
        <f t="shared" si="3"/>
        <v>0</v>
      </c>
    </row>
    <row r="62" spans="1:6" s="28" customFormat="1" ht="17.25" customHeight="1">
      <c r="A62" s="151" t="s">
        <v>107</v>
      </c>
      <c r="B62" s="158" t="s">
        <v>216</v>
      </c>
      <c r="C62" s="153"/>
      <c r="D62" s="120"/>
      <c r="E62" s="221"/>
      <c r="F62" s="135"/>
    </row>
    <row r="63" spans="1:6" s="28" customFormat="1" ht="17.25" customHeight="1">
      <c r="A63" s="151" t="s">
        <v>108</v>
      </c>
      <c r="B63" s="159" t="s">
        <v>217</v>
      </c>
      <c r="C63" s="153" t="s">
        <v>9</v>
      </c>
      <c r="D63" s="120">
        <v>1</v>
      </c>
      <c r="E63" s="221"/>
      <c r="F63" s="135">
        <f t="shared" si="3"/>
        <v>0</v>
      </c>
    </row>
    <row r="64" spans="1:6" s="28" customFormat="1" ht="17.25" hidden="1" customHeight="1">
      <c r="A64" s="151" t="s">
        <v>218</v>
      </c>
      <c r="B64" s="160" t="s">
        <v>219</v>
      </c>
      <c r="C64" s="153"/>
      <c r="D64" s="120"/>
      <c r="E64" s="221"/>
      <c r="F64" s="135"/>
    </row>
    <row r="65" spans="1:6" s="28" customFormat="1" ht="17.25" hidden="1" customHeight="1">
      <c r="A65" s="151" t="s">
        <v>220</v>
      </c>
      <c r="B65" s="152" t="s">
        <v>221</v>
      </c>
      <c r="C65" s="153" t="s">
        <v>10</v>
      </c>
      <c r="D65" s="134">
        <v>0</v>
      </c>
      <c r="E65" s="224"/>
      <c r="F65" s="161">
        <v>0</v>
      </c>
    </row>
    <row r="66" spans="1:6" s="28" customFormat="1" ht="17.25" hidden="1" customHeight="1">
      <c r="A66" s="151" t="s">
        <v>222</v>
      </c>
      <c r="B66" s="152" t="s">
        <v>223</v>
      </c>
      <c r="C66" s="153" t="s">
        <v>10</v>
      </c>
      <c r="D66" s="134">
        <v>0</v>
      </c>
      <c r="E66" s="224"/>
      <c r="F66" s="161">
        <v>0</v>
      </c>
    </row>
    <row r="67" spans="1:6" s="28" customFormat="1" ht="17.25" hidden="1" customHeight="1">
      <c r="A67" s="151" t="s">
        <v>224</v>
      </c>
      <c r="B67" s="152" t="s">
        <v>225</v>
      </c>
      <c r="C67" s="153" t="s">
        <v>10</v>
      </c>
      <c r="D67" s="134">
        <v>0</v>
      </c>
      <c r="E67" s="224"/>
      <c r="F67" s="161">
        <v>0</v>
      </c>
    </row>
    <row r="68" spans="1:6" s="28" customFormat="1" ht="17.25" hidden="1" customHeight="1">
      <c r="A68" s="151" t="s">
        <v>226</v>
      </c>
      <c r="B68" s="152" t="s">
        <v>227</v>
      </c>
      <c r="C68" s="153" t="s">
        <v>4</v>
      </c>
      <c r="D68" s="134">
        <v>0</v>
      </c>
      <c r="E68" s="224"/>
      <c r="F68" s="161">
        <v>0</v>
      </c>
    </row>
    <row r="69" spans="1:6" s="28" customFormat="1" ht="17.25" hidden="1" customHeight="1">
      <c r="A69" s="151" t="s">
        <v>228</v>
      </c>
      <c r="B69" s="152" t="s">
        <v>229</v>
      </c>
      <c r="C69" s="153"/>
      <c r="D69" s="120"/>
      <c r="E69" s="221"/>
      <c r="F69" s="135"/>
    </row>
    <row r="70" spans="1:6" s="28" customFormat="1" ht="17.25" hidden="1" customHeight="1">
      <c r="A70" s="151" t="s">
        <v>230</v>
      </c>
      <c r="B70" s="152" t="s">
        <v>20</v>
      </c>
      <c r="C70" s="153" t="s">
        <v>10</v>
      </c>
      <c r="D70" s="134">
        <v>0</v>
      </c>
      <c r="E70" s="224"/>
      <c r="F70" s="161">
        <v>0</v>
      </c>
    </row>
    <row r="71" spans="1:6" s="28" customFormat="1" ht="17.25" hidden="1" customHeight="1">
      <c r="A71" s="151" t="s">
        <v>231</v>
      </c>
      <c r="B71" s="152" t="s">
        <v>232</v>
      </c>
      <c r="C71" s="153" t="s">
        <v>23</v>
      </c>
      <c r="D71" s="134">
        <v>0</v>
      </c>
      <c r="E71" s="224"/>
      <c r="F71" s="161">
        <v>0</v>
      </c>
    </row>
    <row r="72" spans="1:6" s="28" customFormat="1" ht="17.25" hidden="1" customHeight="1">
      <c r="A72" s="151" t="s">
        <v>233</v>
      </c>
      <c r="B72" s="152" t="s">
        <v>99</v>
      </c>
      <c r="C72" s="153" t="s">
        <v>4</v>
      </c>
      <c r="D72" s="134">
        <v>0</v>
      </c>
      <c r="E72" s="224"/>
      <c r="F72" s="161">
        <v>0</v>
      </c>
    </row>
    <row r="73" spans="1:6" s="28" customFormat="1" ht="17.25" hidden="1" customHeight="1">
      <c r="A73" s="151" t="s">
        <v>234</v>
      </c>
      <c r="B73" s="152" t="s">
        <v>235</v>
      </c>
      <c r="C73" s="153" t="s">
        <v>4</v>
      </c>
      <c r="D73" s="134">
        <v>0</v>
      </c>
      <c r="E73" s="224"/>
      <c r="F73" s="161">
        <v>0</v>
      </c>
    </row>
    <row r="74" spans="1:6" s="28" customFormat="1" ht="17.25" customHeight="1">
      <c r="A74" s="151"/>
      <c r="B74" s="144" t="s">
        <v>37</v>
      </c>
      <c r="C74" s="145"/>
      <c r="D74" s="146"/>
      <c r="E74" s="223"/>
      <c r="F74" s="147">
        <f>SUM(F21:F73)</f>
        <v>0</v>
      </c>
    </row>
    <row r="75" spans="1:6" s="28" customFormat="1" ht="15.6">
      <c r="A75" s="151"/>
      <c r="B75" s="162"/>
      <c r="C75" s="119"/>
      <c r="D75" s="134"/>
      <c r="E75" s="220"/>
      <c r="F75" s="135"/>
    </row>
    <row r="76" spans="1:6" s="28" customFormat="1" ht="15.6">
      <c r="A76" s="151"/>
      <c r="B76" s="130" t="s">
        <v>38</v>
      </c>
      <c r="C76" s="131"/>
      <c r="D76" s="132"/>
      <c r="E76" s="219"/>
      <c r="F76" s="133">
        <f>F74+F18</f>
        <v>0</v>
      </c>
    </row>
    <row r="77" spans="1:6" s="28" customFormat="1" ht="15.6">
      <c r="A77" s="151"/>
      <c r="B77" s="163"/>
      <c r="C77" s="119"/>
      <c r="D77" s="134"/>
      <c r="E77" s="220"/>
      <c r="F77" s="135"/>
    </row>
    <row r="78" spans="1:6" s="28" customFormat="1" ht="15.6">
      <c r="A78" s="121" t="s">
        <v>18</v>
      </c>
      <c r="B78" s="122" t="s">
        <v>39</v>
      </c>
      <c r="C78" s="123"/>
      <c r="D78" s="124"/>
      <c r="E78" s="217"/>
      <c r="F78" s="123"/>
    </row>
    <row r="79" spans="1:6" s="28" customFormat="1" ht="15.6">
      <c r="A79" s="151" t="s">
        <v>115</v>
      </c>
      <c r="B79" s="152" t="s">
        <v>116</v>
      </c>
      <c r="C79" s="153"/>
      <c r="D79" s="164"/>
      <c r="E79" s="225"/>
      <c r="F79" s="135"/>
    </row>
    <row r="80" spans="1:6" s="28" customFormat="1" ht="15.6">
      <c r="A80" s="151" t="s">
        <v>117</v>
      </c>
      <c r="B80" s="152" t="s">
        <v>236</v>
      </c>
      <c r="C80" s="153" t="s">
        <v>10</v>
      </c>
      <c r="D80" s="120">
        <f>(13*8)/100</f>
        <v>1.04</v>
      </c>
      <c r="E80" s="225"/>
      <c r="F80" s="135">
        <f t="shared" ref="F80" si="4">D80*E80</f>
        <v>0</v>
      </c>
    </row>
    <row r="81" spans="1:6" s="28" customFormat="1" ht="15.6">
      <c r="A81" s="117"/>
      <c r="B81" s="130" t="s">
        <v>40</v>
      </c>
      <c r="C81" s="131"/>
      <c r="D81" s="132"/>
      <c r="E81" s="219"/>
      <c r="F81" s="133">
        <f>SUM(F80:F80)</f>
        <v>0</v>
      </c>
    </row>
    <row r="82" spans="1:6" s="28" customFormat="1" ht="15.6">
      <c r="A82" s="117"/>
      <c r="B82" s="163"/>
      <c r="C82" s="119"/>
      <c r="D82" s="134"/>
      <c r="E82" s="220"/>
      <c r="F82" s="135"/>
    </row>
    <row r="83" spans="1:6" s="28" customFormat="1" ht="15.6">
      <c r="A83" s="121" t="s">
        <v>41</v>
      </c>
      <c r="B83" s="122" t="s">
        <v>42</v>
      </c>
      <c r="C83" s="123"/>
      <c r="D83" s="124"/>
      <c r="E83" s="217"/>
      <c r="F83" s="123"/>
    </row>
    <row r="84" spans="1:6" s="28" customFormat="1" ht="15.6">
      <c r="A84" s="151" t="s">
        <v>122</v>
      </c>
      <c r="B84" s="152" t="s">
        <v>43</v>
      </c>
      <c r="C84" s="119"/>
      <c r="D84" s="134"/>
      <c r="E84" s="220"/>
      <c r="F84" s="135"/>
    </row>
    <row r="85" spans="1:6" s="28" customFormat="1" ht="15.6">
      <c r="A85" s="151" t="s">
        <v>123</v>
      </c>
      <c r="B85" s="157" t="s">
        <v>44</v>
      </c>
      <c r="C85" s="119"/>
      <c r="D85" s="134"/>
      <c r="E85" s="220"/>
      <c r="F85" s="135"/>
    </row>
    <row r="86" spans="1:6" s="28" customFormat="1" ht="15.6">
      <c r="A86" s="151" t="s">
        <v>143</v>
      </c>
      <c r="B86" s="152" t="s">
        <v>320</v>
      </c>
      <c r="C86" s="153" t="s">
        <v>4</v>
      </c>
      <c r="D86" s="120">
        <f>2*4.5*13</f>
        <v>117</v>
      </c>
      <c r="E86" s="225"/>
      <c r="F86" s="135">
        <f>D86*E86</f>
        <v>0</v>
      </c>
    </row>
    <row r="87" spans="1:6" s="28" customFormat="1" ht="15.6">
      <c r="A87" s="151" t="s">
        <v>124</v>
      </c>
      <c r="B87" s="157" t="s">
        <v>125</v>
      </c>
      <c r="C87" s="153"/>
      <c r="D87" s="120"/>
      <c r="E87" s="225"/>
      <c r="F87" s="135"/>
    </row>
    <row r="88" spans="1:6" s="28" customFormat="1" ht="15.6">
      <c r="A88" s="151" t="s">
        <v>126</v>
      </c>
      <c r="B88" s="152" t="s">
        <v>237</v>
      </c>
      <c r="C88" s="153" t="s">
        <v>7</v>
      </c>
      <c r="D88" s="120">
        <v>13</v>
      </c>
      <c r="E88" s="225"/>
      <c r="F88" s="135">
        <f>D88*E88</f>
        <v>0</v>
      </c>
    </row>
    <row r="89" spans="1:6" s="28" customFormat="1" ht="15.6">
      <c r="A89" s="151" t="s">
        <v>238</v>
      </c>
      <c r="B89" s="157" t="s">
        <v>45</v>
      </c>
      <c r="C89" s="165"/>
      <c r="D89" s="166"/>
      <c r="E89" s="225"/>
      <c r="F89" s="135"/>
    </row>
    <row r="90" spans="1:6" s="28" customFormat="1" ht="15.6">
      <c r="A90" s="151" t="s">
        <v>239</v>
      </c>
      <c r="B90" s="152" t="s">
        <v>240</v>
      </c>
      <c r="C90" s="153" t="s">
        <v>4</v>
      </c>
      <c r="D90" s="120">
        <f>(4*4.5+13*2)*0.3</f>
        <v>13.2</v>
      </c>
      <c r="E90" s="225"/>
      <c r="F90" s="135">
        <f>D90*E90</f>
        <v>0</v>
      </c>
    </row>
    <row r="91" spans="1:6" s="28" customFormat="1" ht="17.25" customHeight="1">
      <c r="A91" s="117"/>
      <c r="B91" s="130" t="s">
        <v>46</v>
      </c>
      <c r="C91" s="131"/>
      <c r="D91" s="132"/>
      <c r="E91" s="219"/>
      <c r="F91" s="133">
        <f>SUM(F86:F90)</f>
        <v>0</v>
      </c>
    </row>
    <row r="92" spans="1:6" s="30" customFormat="1" ht="17.25" customHeight="1">
      <c r="A92" s="167"/>
      <c r="B92" s="168"/>
      <c r="C92" s="169"/>
      <c r="D92" s="170"/>
      <c r="E92" s="226"/>
      <c r="F92" s="129"/>
    </row>
    <row r="93" spans="1:6" s="28" customFormat="1" ht="15.6">
      <c r="A93" s="121" t="s">
        <v>47</v>
      </c>
      <c r="B93" s="122" t="s">
        <v>48</v>
      </c>
      <c r="C93" s="123"/>
      <c r="D93" s="124"/>
      <c r="E93" s="217"/>
      <c r="F93" s="123"/>
    </row>
    <row r="94" spans="1:6" s="28" customFormat="1" ht="15.6">
      <c r="A94" s="171" t="s">
        <v>49</v>
      </c>
      <c r="B94" s="157" t="s">
        <v>51</v>
      </c>
      <c r="C94" s="153"/>
      <c r="D94" s="164"/>
      <c r="E94" s="225"/>
      <c r="F94" s="135"/>
    </row>
    <row r="95" spans="1:6" s="28" customFormat="1" ht="15.6">
      <c r="A95" s="171" t="s">
        <v>50</v>
      </c>
      <c r="B95" s="152" t="s">
        <v>241</v>
      </c>
      <c r="C95" s="153" t="s">
        <v>174</v>
      </c>
      <c r="D95" s="120">
        <v>1</v>
      </c>
      <c r="E95" s="225"/>
      <c r="F95" s="135">
        <f>D95*E95</f>
        <v>0</v>
      </c>
    </row>
    <row r="96" spans="1:6" s="28" customFormat="1" ht="15.6">
      <c r="A96" s="117"/>
      <c r="B96" s="130" t="s">
        <v>52</v>
      </c>
      <c r="C96" s="131"/>
      <c r="D96" s="132"/>
      <c r="E96" s="219"/>
      <c r="F96" s="133">
        <f>SUM(F95)</f>
        <v>0</v>
      </c>
    </row>
    <row r="97" spans="1:6" s="28" customFormat="1" ht="15.6">
      <c r="A97" s="151"/>
      <c r="B97" s="138"/>
      <c r="C97" s="138"/>
      <c r="D97" s="172"/>
      <c r="E97" s="227"/>
      <c r="F97" s="135"/>
    </row>
    <row r="98" spans="1:6" s="28" customFormat="1" ht="15.6">
      <c r="A98" s="121" t="s">
        <v>53</v>
      </c>
      <c r="B98" s="122" t="s">
        <v>242</v>
      </c>
      <c r="C98" s="123"/>
      <c r="D98" s="124"/>
      <c r="E98" s="217"/>
      <c r="F98" s="123"/>
    </row>
    <row r="99" spans="1:6" s="28" customFormat="1" ht="19.95" customHeight="1">
      <c r="A99" s="171" t="s">
        <v>132</v>
      </c>
      <c r="B99" s="173" t="s">
        <v>243</v>
      </c>
      <c r="C99" s="153" t="s">
        <v>4</v>
      </c>
      <c r="D99" s="120">
        <f>8.45*3.9</f>
        <v>32.954999999999998</v>
      </c>
      <c r="E99" s="225"/>
      <c r="F99" s="174">
        <f>D99*E99</f>
        <v>0</v>
      </c>
    </row>
    <row r="100" spans="1:6" s="28" customFormat="1" ht="15.6">
      <c r="A100" s="171" t="s">
        <v>131</v>
      </c>
      <c r="B100" s="175" t="s">
        <v>244</v>
      </c>
      <c r="C100" s="153" t="s">
        <v>7</v>
      </c>
      <c r="D100" s="120">
        <f>49.75*4</f>
        <v>199</v>
      </c>
      <c r="E100" s="225"/>
      <c r="F100" s="135">
        <f>D100*E100</f>
        <v>0</v>
      </c>
    </row>
    <row r="101" spans="1:6" s="28" customFormat="1" ht="15.6">
      <c r="A101" s="171"/>
      <c r="B101" s="175"/>
      <c r="C101" s="119"/>
      <c r="D101" s="134"/>
      <c r="E101" s="220"/>
      <c r="F101" s="135"/>
    </row>
    <row r="102" spans="1:6" s="28" customFormat="1" ht="15.6">
      <c r="A102" s="151"/>
      <c r="B102" s="130" t="s">
        <v>245</v>
      </c>
      <c r="C102" s="176"/>
      <c r="D102" s="132"/>
      <c r="E102" s="219"/>
      <c r="F102" s="133">
        <f>SUM(F99:F101)</f>
        <v>0</v>
      </c>
    </row>
    <row r="103" spans="1:6" s="28" customFormat="1" ht="15.6">
      <c r="A103" s="151"/>
      <c r="B103" s="177"/>
      <c r="C103" s="119"/>
      <c r="D103" s="134"/>
      <c r="E103" s="220"/>
      <c r="F103" s="135"/>
    </row>
    <row r="104" spans="1:6" s="28" customFormat="1" ht="15.6">
      <c r="A104" s="121" t="s">
        <v>72</v>
      </c>
      <c r="B104" s="122" t="s">
        <v>55</v>
      </c>
      <c r="C104" s="123"/>
      <c r="D104" s="124"/>
      <c r="E104" s="217"/>
      <c r="F104" s="123"/>
    </row>
    <row r="105" spans="1:6" s="28" customFormat="1" ht="15.6">
      <c r="A105" s="151" t="s">
        <v>131</v>
      </c>
      <c r="B105" s="157" t="s">
        <v>246</v>
      </c>
      <c r="C105" s="119"/>
      <c r="D105" s="134"/>
      <c r="E105" s="220"/>
      <c r="F105" s="135"/>
    </row>
    <row r="106" spans="1:6" s="28" customFormat="1" ht="15.6">
      <c r="A106" s="151" t="s">
        <v>161</v>
      </c>
      <c r="B106" s="152" t="s">
        <v>247</v>
      </c>
      <c r="C106" s="119"/>
      <c r="D106" s="134"/>
      <c r="E106" s="220"/>
      <c r="F106" s="135"/>
    </row>
    <row r="107" spans="1:6" s="28" customFormat="1" ht="15.6">
      <c r="A107" s="151" t="s">
        <v>248</v>
      </c>
      <c r="B107" s="152" t="s">
        <v>249</v>
      </c>
      <c r="C107" s="153" t="s">
        <v>9</v>
      </c>
      <c r="D107" s="120">
        <v>2</v>
      </c>
      <c r="E107" s="225"/>
      <c r="F107" s="135">
        <f>D107*E107</f>
        <v>0</v>
      </c>
    </row>
    <row r="108" spans="1:6" s="28" customFormat="1" ht="15.6">
      <c r="A108" s="151" t="s">
        <v>250</v>
      </c>
      <c r="B108" s="152" t="s">
        <v>251</v>
      </c>
      <c r="C108" s="153" t="s">
        <v>9</v>
      </c>
      <c r="D108" s="120">
        <v>2</v>
      </c>
      <c r="E108" s="225"/>
      <c r="F108" s="135">
        <f t="shared" ref="F108:F110" si="5">D108*E108</f>
        <v>0</v>
      </c>
    </row>
    <row r="109" spans="1:6" s="28" customFormat="1" ht="15.6">
      <c r="A109" s="151" t="s">
        <v>132</v>
      </c>
      <c r="B109" s="157" t="s">
        <v>252</v>
      </c>
      <c r="C109" s="153"/>
      <c r="D109" s="120"/>
      <c r="E109" s="225"/>
      <c r="F109" s="135"/>
    </row>
    <row r="110" spans="1:6" s="28" customFormat="1" ht="15.6">
      <c r="A110" s="151" t="s">
        <v>162</v>
      </c>
      <c r="B110" s="152" t="s">
        <v>253</v>
      </c>
      <c r="C110" s="153" t="s">
        <v>9</v>
      </c>
      <c r="D110" s="120">
        <v>2</v>
      </c>
      <c r="E110" s="225"/>
      <c r="F110" s="135">
        <f t="shared" si="5"/>
        <v>0</v>
      </c>
    </row>
    <row r="111" spans="1:6" s="28" customFormat="1" ht="15">
      <c r="A111" s="178"/>
      <c r="B111" s="130" t="s">
        <v>56</v>
      </c>
      <c r="C111" s="179"/>
      <c r="D111" s="132"/>
      <c r="E111" s="219"/>
      <c r="F111" s="133">
        <f>SUM(F107:F110)</f>
        <v>0</v>
      </c>
    </row>
    <row r="112" spans="1:6" s="30" customFormat="1" ht="15">
      <c r="A112" s="180"/>
      <c r="B112" s="168"/>
      <c r="C112" s="181"/>
      <c r="D112" s="170"/>
      <c r="E112" s="226"/>
      <c r="F112" s="129"/>
    </row>
    <row r="113" spans="1:8" s="2" customFormat="1" ht="15.6">
      <c r="A113" s="121" t="s">
        <v>54</v>
      </c>
      <c r="B113" s="122" t="s">
        <v>65</v>
      </c>
      <c r="C113" s="123"/>
      <c r="D113" s="124"/>
      <c r="E113" s="217"/>
      <c r="F113" s="123"/>
    </row>
    <row r="114" spans="1:8" s="2" customFormat="1" ht="15.6">
      <c r="A114" s="151" t="s">
        <v>254</v>
      </c>
      <c r="B114" s="182" t="s">
        <v>66</v>
      </c>
      <c r="C114" s="153"/>
      <c r="D114" s="120"/>
      <c r="E114" s="220"/>
      <c r="F114" s="135"/>
    </row>
    <row r="115" spans="1:8" s="2" customFormat="1" ht="18" customHeight="1">
      <c r="A115" s="151" t="s">
        <v>255</v>
      </c>
      <c r="B115" s="183" t="s">
        <v>256</v>
      </c>
      <c r="C115" s="153" t="s">
        <v>4</v>
      </c>
      <c r="D115" s="120">
        <v>5</v>
      </c>
      <c r="E115" s="220"/>
      <c r="F115" s="135">
        <f t="shared" ref="F115:F116" si="6">D115*E115</f>
        <v>0</v>
      </c>
    </row>
    <row r="116" spans="1:8" s="2" customFormat="1" ht="18" customHeight="1">
      <c r="A116" s="151" t="s">
        <v>257</v>
      </c>
      <c r="B116" s="183" t="s">
        <v>258</v>
      </c>
      <c r="C116" s="153" t="s">
        <v>4</v>
      </c>
      <c r="D116" s="120">
        <v>0</v>
      </c>
      <c r="E116" s="220"/>
      <c r="F116" s="135">
        <f t="shared" si="6"/>
        <v>0</v>
      </c>
    </row>
    <row r="117" spans="1:8" s="2" customFormat="1" ht="15">
      <c r="A117" s="178"/>
      <c r="B117" s="130" t="s">
        <v>67</v>
      </c>
      <c r="C117" s="179"/>
      <c r="D117" s="132"/>
      <c r="E117" s="219"/>
      <c r="F117" s="133">
        <f>SUM(F114:F116)</f>
        <v>0</v>
      </c>
    </row>
    <row r="118" spans="1:8" s="28" customFormat="1" ht="15">
      <c r="A118" s="178"/>
      <c r="B118" s="229"/>
      <c r="C118" s="184"/>
      <c r="D118" s="134"/>
      <c r="E118" s="220"/>
      <c r="F118" s="135"/>
    </row>
    <row r="119" spans="1:8" s="28" customFormat="1" ht="15.6">
      <c r="A119" s="121" t="s">
        <v>73</v>
      </c>
      <c r="B119" s="122" t="s">
        <v>11</v>
      </c>
      <c r="C119" s="123"/>
      <c r="D119" s="124"/>
      <c r="E119" s="217"/>
      <c r="F119" s="123"/>
    </row>
    <row r="120" spans="1:8" s="28" customFormat="1" ht="15.6">
      <c r="A120" s="151" t="s">
        <v>142</v>
      </c>
      <c r="B120" s="185" t="s">
        <v>62</v>
      </c>
      <c r="C120" s="153"/>
      <c r="D120" s="164"/>
      <c r="E120" s="225"/>
      <c r="F120" s="135"/>
    </row>
    <row r="121" spans="1:8" s="28" customFormat="1" ht="15.6">
      <c r="A121" s="151" t="s">
        <v>163</v>
      </c>
      <c r="B121" s="152" t="s">
        <v>259</v>
      </c>
      <c r="C121" s="153" t="s">
        <v>4</v>
      </c>
      <c r="D121" s="120">
        <f>(7.45*3.57+3.55*3.57*2)+(7.4*2*1+7.45*1)</f>
        <v>74.1935</v>
      </c>
      <c r="E121" s="225"/>
      <c r="F121" s="135">
        <f t="shared" ref="F121:F127" si="7">D121*E121</f>
        <v>0</v>
      </c>
    </row>
    <row r="122" spans="1:8" s="28" customFormat="1" ht="15.6">
      <c r="A122" s="151" t="s">
        <v>260</v>
      </c>
      <c r="B122" s="152" t="s">
        <v>261</v>
      </c>
      <c r="C122" s="153" t="s">
        <v>4</v>
      </c>
      <c r="D122" s="120">
        <f>49.75*1</f>
        <v>49.75</v>
      </c>
      <c r="E122" s="225"/>
      <c r="F122" s="135">
        <f t="shared" si="7"/>
        <v>0</v>
      </c>
    </row>
    <row r="123" spans="1:8" s="28" customFormat="1" ht="15.6">
      <c r="A123" s="151" t="s">
        <v>262</v>
      </c>
      <c r="B123" s="157" t="s">
        <v>63</v>
      </c>
      <c r="C123" s="153"/>
      <c r="D123" s="120"/>
      <c r="E123" s="225"/>
      <c r="F123" s="135"/>
      <c r="H123" s="246"/>
    </row>
    <row r="124" spans="1:8" s="28" customFormat="1" ht="15.6">
      <c r="A124" s="151" t="s">
        <v>263</v>
      </c>
      <c r="B124" s="152" t="s">
        <v>264</v>
      </c>
      <c r="C124" s="153" t="s">
        <v>4</v>
      </c>
      <c r="D124" s="120">
        <f>D121+3.4*3*2</f>
        <v>94.593500000000006</v>
      </c>
      <c r="E124" s="225"/>
      <c r="F124" s="135">
        <f t="shared" si="7"/>
        <v>0</v>
      </c>
    </row>
    <row r="125" spans="1:8" s="28" customFormat="1" ht="15.6">
      <c r="A125" s="151" t="s">
        <v>265</v>
      </c>
      <c r="B125" s="152" t="s">
        <v>266</v>
      </c>
      <c r="C125" s="153" t="s">
        <v>4</v>
      </c>
      <c r="D125" s="120">
        <f>D99+1.5</f>
        <v>34.454999999999998</v>
      </c>
      <c r="E125" s="225"/>
      <c r="F125" s="135">
        <f t="shared" si="7"/>
        <v>0</v>
      </c>
    </row>
    <row r="126" spans="1:8" s="28" customFormat="1" ht="15.6">
      <c r="A126" s="171" t="s">
        <v>267</v>
      </c>
      <c r="B126" s="157" t="s">
        <v>57</v>
      </c>
      <c r="C126" s="153"/>
      <c r="D126" s="120"/>
      <c r="E126" s="225"/>
      <c r="F126" s="135"/>
    </row>
    <row r="127" spans="1:8" s="28" customFormat="1" ht="15.6">
      <c r="A127" s="171" t="s">
        <v>268</v>
      </c>
      <c r="B127" s="152" t="s">
        <v>269</v>
      </c>
      <c r="C127" s="153" t="s">
        <v>4</v>
      </c>
      <c r="D127" s="120">
        <f>0.9*2.1*2*2+0.9*4</f>
        <v>11.16</v>
      </c>
      <c r="E127" s="225"/>
      <c r="F127" s="135">
        <f t="shared" si="7"/>
        <v>0</v>
      </c>
    </row>
    <row r="128" spans="1:8" s="28" customFormat="1" ht="15">
      <c r="A128" s="178"/>
      <c r="B128" s="130" t="s">
        <v>58</v>
      </c>
      <c r="C128" s="179"/>
      <c r="D128" s="132"/>
      <c r="E128" s="219"/>
      <c r="F128" s="133">
        <f>SUM(F121:F127)</f>
        <v>0</v>
      </c>
    </row>
    <row r="129" spans="1:6" s="28" customFormat="1" ht="15">
      <c r="A129" s="283"/>
      <c r="B129" s="284"/>
      <c r="C129" s="284"/>
      <c r="D129" s="284"/>
      <c r="E129" s="284"/>
      <c r="F129" s="284"/>
    </row>
    <row r="130" spans="1:6" s="28" customFormat="1" ht="20.25" customHeight="1">
      <c r="A130" s="285" t="s">
        <v>270</v>
      </c>
      <c r="B130" s="286"/>
      <c r="C130" s="286"/>
      <c r="D130" s="236"/>
      <c r="E130" s="194"/>
      <c r="F130" s="186">
        <f>F128+F111+F102+F96+F91+F81+F76+F117+F11</f>
        <v>0</v>
      </c>
    </row>
    <row r="131" spans="1:6" s="28" customFormat="1" ht="15">
      <c r="A131" s="283"/>
      <c r="B131" s="284"/>
      <c r="C131" s="284"/>
      <c r="D131" s="284"/>
      <c r="E131" s="284"/>
      <c r="F131" s="284"/>
    </row>
    <row r="132" spans="1:6" s="28" customFormat="1" ht="20.25" customHeight="1">
      <c r="A132" s="285" t="s">
        <v>282</v>
      </c>
      <c r="B132" s="286"/>
      <c r="C132" s="286"/>
      <c r="D132" s="195">
        <v>0.15</v>
      </c>
      <c r="E132" s="194"/>
      <c r="F132" s="186">
        <f>F130*D132</f>
        <v>0</v>
      </c>
    </row>
    <row r="133" spans="1:6" s="28" customFormat="1" ht="15">
      <c r="A133" s="275"/>
      <c r="B133" s="276"/>
      <c r="C133" s="277"/>
      <c r="D133" s="277"/>
      <c r="E133" s="277"/>
      <c r="F133" s="277"/>
    </row>
    <row r="134" spans="1:6" s="28" customFormat="1" ht="24.75" customHeight="1">
      <c r="A134" s="275" t="s">
        <v>271</v>
      </c>
      <c r="B134" s="276"/>
      <c r="C134" s="277"/>
      <c r="D134" s="277"/>
      <c r="E134" s="278">
        <f>F130+F132</f>
        <v>0</v>
      </c>
      <c r="F134" s="278"/>
    </row>
    <row r="135" spans="1:6" s="28" customFormat="1" ht="15.6">
      <c r="A135" s="101"/>
      <c r="B135" s="101"/>
      <c r="C135" s="102"/>
      <c r="D135" s="103"/>
      <c r="E135" s="102"/>
      <c r="F135" s="102"/>
    </row>
  </sheetData>
  <sheetProtection selectLockedCells="1"/>
  <mergeCells count="9">
    <mergeCell ref="A133:F133"/>
    <mergeCell ref="A134:D134"/>
    <mergeCell ref="E134:F134"/>
    <mergeCell ref="A1:F1"/>
    <mergeCell ref="A3:F3"/>
    <mergeCell ref="A129:F129"/>
    <mergeCell ref="A130:C130"/>
    <mergeCell ref="A131:F131"/>
    <mergeCell ref="A132:C132"/>
  </mergeCells>
  <pageMargins left="0.7" right="0.7" top="0.75" bottom="0.75" header="0.3" footer="0.3"/>
  <pageSetup paperSize="9" scale="78" orientation="portrait" r:id="rId1"/>
  <rowBreaks count="1" manualBreakCount="1">
    <brk id="11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ABA0-662B-4CF1-A48D-25DCAF1FFDBD}">
  <dimension ref="A1:B11"/>
  <sheetViews>
    <sheetView tabSelected="1" view="pageBreakPreview" zoomScale="90" zoomScaleNormal="100" zoomScaleSheetLayoutView="90" workbookViewId="0">
      <selection activeCell="A16" sqref="A16"/>
    </sheetView>
  </sheetViews>
  <sheetFormatPr baseColWidth="10" defaultRowHeight="14.4"/>
  <cols>
    <col min="1" max="1" width="68.77734375" style="230" customWidth="1"/>
    <col min="2" max="2" width="23.77734375" customWidth="1"/>
  </cols>
  <sheetData>
    <row r="1" spans="1:2" ht="88.95" customHeight="1" thickBot="1">
      <c r="A1" s="287"/>
      <c r="B1" s="287"/>
    </row>
    <row r="2" spans="1:2" ht="4.95" hidden="1" customHeight="1" thickBot="1"/>
    <row r="3" spans="1:2" s="28" customFormat="1" ht="25.5" customHeight="1">
      <c r="A3" s="288" t="s">
        <v>318</v>
      </c>
      <c r="B3" s="289"/>
    </row>
    <row r="4" spans="1:2" s="28" customFormat="1" ht="12.75" customHeight="1">
      <c r="A4" s="237"/>
      <c r="B4" s="238"/>
    </row>
    <row r="5" spans="1:2" s="28" customFormat="1" ht="15">
      <c r="A5" s="105"/>
      <c r="B5" s="242"/>
    </row>
    <row r="6" spans="1:2" s="28" customFormat="1" ht="27.6" customHeight="1">
      <c r="A6" s="241" t="s">
        <v>317</v>
      </c>
      <c r="B6" s="244">
        <f>'DQE 3 cls'!F114</f>
        <v>0</v>
      </c>
    </row>
    <row r="7" spans="1:2" s="28" customFormat="1" ht="24" customHeight="1">
      <c r="A7" s="105"/>
      <c r="B7" s="243"/>
    </row>
    <row r="8" spans="1:2" s="28" customFormat="1" ht="27.6" customHeight="1">
      <c r="A8" s="106" t="s">
        <v>272</v>
      </c>
      <c r="B8" s="107">
        <f>'DQE cantine'!E134</f>
        <v>0</v>
      </c>
    </row>
    <row r="9" spans="1:2" s="28" customFormat="1" ht="18.600000000000001" customHeight="1" thickBot="1">
      <c r="A9" s="109"/>
      <c r="B9" s="108"/>
    </row>
    <row r="10" spans="1:2" s="28" customFormat="1" ht="25.2" customHeight="1" thickBot="1">
      <c r="A10" s="239" t="s">
        <v>289</v>
      </c>
      <c r="B10" s="240">
        <f>B6+B8</f>
        <v>0</v>
      </c>
    </row>
    <row r="11" spans="1:2" s="28" customFormat="1" ht="15.6">
      <c r="A11" s="104"/>
      <c r="B11" s="102"/>
    </row>
  </sheetData>
  <sheetProtection selectLockedCells="1"/>
  <mergeCells count="2">
    <mergeCell ref="A1:B1"/>
    <mergeCell ref="A3:B3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DQE 3 cls</vt:lpstr>
      <vt:lpstr>DQE cantine</vt:lpstr>
      <vt:lpstr>Recap</vt:lpstr>
      <vt:lpstr>'DQE 3 cls'!Zone_d_impression</vt:lpstr>
      <vt:lpstr>'DQE cantine'!Zone_d_impression</vt:lpstr>
      <vt:lpstr>Recap!Zone_d_impression</vt:lpstr>
    </vt:vector>
  </TitlesOfParts>
  <Company>PRIVEE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SIEHI  RGER</dc:creator>
  <cp:lastModifiedBy>Lasme Jean Francois Michel ESSO</cp:lastModifiedBy>
  <cp:lastPrinted>2024-12-12T18:39:48Z</cp:lastPrinted>
  <dcterms:created xsi:type="dcterms:W3CDTF">2007-12-03T22:12:12Z</dcterms:created>
  <dcterms:modified xsi:type="dcterms:W3CDTF">2024-12-17T19:14:51Z</dcterms:modified>
</cp:coreProperties>
</file>