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l_esso_cocoainitiative_org/Documents/Documents/DAO 2025/"/>
    </mc:Choice>
  </mc:AlternateContent>
  <xr:revisionPtr revIDLastSave="21" documentId="8_{08B6ECBA-A2FD-4AB7-95ED-AABCCBAE661F}" xr6:coauthVersionLast="47" xr6:coauthVersionMax="47" xr10:uidLastSave="{AEA2527E-3FDD-411B-B024-718ADEB45B78}"/>
  <bookViews>
    <workbookView xWindow="-108" yWindow="-108" windowWidth="23256" windowHeight="12576" tabRatio="961" activeTab="6" xr2:uid="{00000000-000D-0000-FFFF-FFFF00000000}"/>
  </bookViews>
  <sheets>
    <sheet name="DQE 3 cls + bureau " sheetId="36" r:id="rId1"/>
    <sheet name="DQE 3 Cls" sheetId="48" r:id="rId2"/>
    <sheet name="DQE cantine" sheetId="37" r:id="rId3"/>
    <sheet name="Réha latrine 4 cabines" sheetId="46" r:id="rId4"/>
    <sheet name="DQE forage energie solaire" sheetId="49" r:id="rId5"/>
    <sheet name=" aménagement aire de jeux" sheetId="47" r:id="rId6"/>
    <sheet name="Recap" sheetId="39" r:id="rId7"/>
  </sheets>
  <externalReferences>
    <externalReference r:id="rId8"/>
  </externalReferences>
  <definedNames>
    <definedName name="capinit" localSheetId="3">#REF!</definedName>
    <definedName name="capinit">#REF!</definedName>
    <definedName name="Cf" localSheetId="3">#REF!</definedName>
    <definedName name="Cf">#REF!</definedName>
    <definedName name="cgp" localSheetId="3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5">' aménagement aire de jeux'!$A$1:$F$16</definedName>
    <definedName name="_xlnm.Print_Area" localSheetId="0">'DQE 3 cls + bureau '!$A$1:$F$126</definedName>
    <definedName name="_xlnm.Print_Area" localSheetId="2">'DQE cantine'!$A$1:$F$134</definedName>
    <definedName name="_xlnm.Print_Area" localSheetId="6">Recap!$A$1:$B$21</definedName>
    <definedName name="_xlnm.Print_Area" localSheetId="3">'Réha latrine 4 cabines'!$A$1:$F$119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39" l="1"/>
  <c r="F12" i="49"/>
  <c r="F9" i="49"/>
  <c r="D33" i="49"/>
  <c r="F33" i="49" s="1"/>
  <c r="F32" i="49"/>
  <c r="D31" i="49"/>
  <c r="F31" i="49" s="1"/>
  <c r="D30" i="49"/>
  <c r="F30" i="49" s="1"/>
  <c r="D29" i="49"/>
  <c r="F29" i="49" s="1"/>
  <c r="D28" i="49"/>
  <c r="F28" i="49" s="1"/>
  <c r="F27" i="49"/>
  <c r="F25" i="49"/>
  <c r="F24" i="49"/>
  <c r="F23" i="49"/>
  <c r="F22" i="49"/>
  <c r="F21" i="49"/>
  <c r="F20" i="49"/>
  <c r="F19" i="49"/>
  <c r="F18" i="49"/>
  <c r="F16" i="49"/>
  <c r="F14" i="49"/>
  <c r="F11" i="49"/>
  <c r="F10" i="49"/>
  <c r="F7" i="49"/>
  <c r="F6" i="49"/>
  <c r="F4" i="49"/>
  <c r="F34" i="49" l="1"/>
  <c r="F36" i="49" s="1"/>
  <c r="F38" i="49" s="1"/>
  <c r="B8" i="39" l="1"/>
  <c r="F112" i="48"/>
  <c r="D109" i="48"/>
  <c r="F109" i="48" s="1"/>
  <c r="D108" i="48"/>
  <c r="F108" i="48" s="1"/>
  <c r="D106" i="48"/>
  <c r="F106" i="48" s="1"/>
  <c r="D104" i="48"/>
  <c r="F104" i="48" s="1"/>
  <c r="D102" i="48"/>
  <c r="F102" i="48" s="1"/>
  <c r="D101" i="48"/>
  <c r="F101" i="48" s="1"/>
  <c r="F95" i="48"/>
  <c r="F93" i="48"/>
  <c r="F92" i="48"/>
  <c r="F86" i="48"/>
  <c r="F87" i="48" s="1"/>
  <c r="D80" i="48"/>
  <c r="F80" i="48" s="1"/>
  <c r="F78" i="48"/>
  <c r="D76" i="48"/>
  <c r="F76" i="48" s="1"/>
  <c r="F70" i="48"/>
  <c r="D69" i="48"/>
  <c r="F69" i="48" s="1"/>
  <c r="F62" i="48"/>
  <c r="F61" i="48"/>
  <c r="D58" i="48"/>
  <c r="D59" i="48" s="1"/>
  <c r="F59" i="48" s="1"/>
  <c r="D57" i="48"/>
  <c r="F57" i="48" s="1"/>
  <c r="D56" i="48"/>
  <c r="F56" i="48" s="1"/>
  <c r="D55" i="48"/>
  <c r="F55" i="48" s="1"/>
  <c r="D54" i="48"/>
  <c r="F54" i="48" s="1"/>
  <c r="F52" i="48"/>
  <c r="F51" i="48"/>
  <c r="F50" i="48"/>
  <c r="D48" i="48"/>
  <c r="D45" i="48" s="1"/>
  <c r="D43" i="48"/>
  <c r="F43" i="48" s="1"/>
  <c r="D41" i="48"/>
  <c r="F41" i="48" s="1"/>
  <c r="D40" i="48"/>
  <c r="F40" i="48" s="1"/>
  <c r="D38" i="48"/>
  <c r="F38" i="48" s="1"/>
  <c r="D37" i="48"/>
  <c r="F37" i="48" s="1"/>
  <c r="D36" i="48"/>
  <c r="F36" i="48" s="1"/>
  <c r="D34" i="48"/>
  <c r="F34" i="48" s="1"/>
  <c r="D33" i="48"/>
  <c r="F33" i="48" s="1"/>
  <c r="D30" i="48"/>
  <c r="F30" i="48" s="1"/>
  <c r="D29" i="48"/>
  <c r="F29" i="48" s="1"/>
  <c r="F24" i="48"/>
  <c r="D24" i="48"/>
  <c r="D23" i="48"/>
  <c r="F23" i="48" s="1"/>
  <c r="D22" i="48"/>
  <c r="F22" i="48" s="1"/>
  <c r="D21" i="48"/>
  <c r="D32" i="48" s="1"/>
  <c r="F32" i="48" s="1"/>
  <c r="F15" i="48"/>
  <c r="F14" i="48"/>
  <c r="F16" i="48" s="1"/>
  <c r="F13" i="48"/>
  <c r="F25" i="48" l="1"/>
  <c r="F58" i="48"/>
  <c r="F96" i="48"/>
  <c r="F71" i="48"/>
  <c r="F110" i="48"/>
  <c r="F48" i="48"/>
  <c r="D46" i="48"/>
  <c r="F46" i="48" s="1"/>
  <c r="F45" i="48"/>
  <c r="F81" i="48"/>
  <c r="D31" i="48"/>
  <c r="D28" i="48"/>
  <c r="F28" i="48" s="1"/>
  <c r="D42" i="48" l="1"/>
  <c r="F42" i="48" s="1"/>
  <c r="F31" i="48"/>
  <c r="F63" i="48" s="1"/>
  <c r="F64" i="48" s="1"/>
  <c r="F114" i="48" s="1"/>
  <c r="F116" i="48" s="1"/>
  <c r="D66" i="46" l="1"/>
  <c r="D28" i="46"/>
  <c r="D25" i="46"/>
  <c r="D10" i="47" l="1"/>
  <c r="F10" i="47" s="1"/>
  <c r="F11" i="47"/>
  <c r="D13" i="47"/>
  <c r="F12" i="47"/>
  <c r="F13" i="47"/>
  <c r="B14" i="39" l="1"/>
  <c r="F15" i="47"/>
  <c r="B18" i="39" s="1"/>
  <c r="F68" i="46" l="1"/>
  <c r="D30" i="46"/>
  <c r="F30" i="46" s="1"/>
  <c r="F8" i="46"/>
  <c r="F9" i="46"/>
  <c r="F18" i="46"/>
  <c r="F20" i="46"/>
  <c r="D21" i="46"/>
  <c r="F21" i="46" s="1"/>
  <c r="D22" i="46"/>
  <c r="F22" i="46"/>
  <c r="F23" i="46"/>
  <c r="F25" i="46"/>
  <c r="D26" i="46"/>
  <c r="F26" i="46" s="1"/>
  <c r="F31" i="46"/>
  <c r="F33" i="46"/>
  <c r="F35" i="46"/>
  <c r="D36" i="46"/>
  <c r="F36" i="46" s="1"/>
  <c r="D37" i="46"/>
  <c r="F37" i="46"/>
  <c r="D41" i="46"/>
  <c r="F41" i="46" s="1"/>
  <c r="F39" i="46"/>
  <c r="D40" i="46"/>
  <c r="F40" i="46"/>
  <c r="F43" i="46"/>
  <c r="F44" i="46"/>
  <c r="D45" i="46"/>
  <c r="F45" i="46"/>
  <c r="F48" i="46"/>
  <c r="F50" i="46"/>
  <c r="F56" i="46"/>
  <c r="F57" i="46" s="1"/>
  <c r="F60" i="46"/>
  <c r="F61" i="46" s="1"/>
  <c r="F66" i="46"/>
  <c r="F70" i="46"/>
  <c r="F75" i="46"/>
  <c r="F76" i="46"/>
  <c r="F81" i="46"/>
  <c r="F82" i="46"/>
  <c r="F83" i="46" s="1"/>
  <c r="F88" i="46"/>
  <c r="F89" i="46"/>
  <c r="F90" i="46"/>
  <c r="D95" i="46"/>
  <c r="F95" i="46"/>
  <c r="D96" i="46"/>
  <c r="F96" i="46"/>
  <c r="F97" i="46"/>
  <c r="D101" i="46"/>
  <c r="F101" i="46"/>
  <c r="D102" i="46"/>
  <c r="F102" i="46" s="1"/>
  <c r="D104" i="46"/>
  <c r="F104" i="46" s="1"/>
  <c r="D106" i="46"/>
  <c r="F106" i="46"/>
  <c r="F91" i="46" l="1"/>
  <c r="F71" i="46"/>
  <c r="F10" i="46"/>
  <c r="F12" i="46" s="1"/>
  <c r="F107" i="46"/>
  <c r="D29" i="46"/>
  <c r="F29" i="46" s="1"/>
  <c r="F28" i="46"/>
  <c r="F51" i="46" s="1"/>
  <c r="F53" i="46" s="1"/>
  <c r="F109" i="46" l="1"/>
  <c r="F121" i="36"/>
  <c r="F105" i="36"/>
  <c r="F104" i="36"/>
  <c r="D104" i="36"/>
  <c r="D102" i="36"/>
  <c r="F102" i="36" s="1"/>
  <c r="F101" i="36"/>
  <c r="F111" i="46" l="1"/>
  <c r="F113" i="46" s="1"/>
  <c r="B12" i="39" s="1"/>
  <c r="F95" i="36"/>
  <c r="F93" i="36"/>
  <c r="F91" i="36"/>
  <c r="F90" i="36"/>
  <c r="F96" i="36" l="1"/>
  <c r="D36" i="37" l="1"/>
  <c r="D35" i="37"/>
  <c r="F35" i="37" s="1"/>
  <c r="B20" i="39" l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14" i="36" s="1"/>
  <c r="F79" i="36" l="1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74" i="37"/>
  <c r="F76" i="37" s="1"/>
  <c r="F130" i="37" s="1"/>
  <c r="F123" i="36" l="1"/>
  <c r="F132" i="37"/>
  <c r="E134" i="37" s="1"/>
  <c r="B10" i="39" s="1"/>
  <c r="F125" i="36" l="1"/>
  <c r="B6" i="39"/>
</calcChain>
</file>

<file path=xl/sharedStrings.xml><?xml version="1.0" encoding="utf-8"?>
<sst xmlns="http://schemas.openxmlformats.org/spreadsheetml/2006/main" count="1019" uniqueCount="499">
  <si>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</si>
  <si>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</si>
  <si>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</si>
  <si>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</si>
  <si>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</si>
  <si>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</si>
  <si>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</si>
  <si>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</si>
  <si>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</si>
  <si>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</si>
  <si>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</si>
  <si>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</si>
  <si>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</si>
  <si>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</si>
  <si>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</si>
  <si>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</si>
  <si>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</si>
  <si>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</si>
  <si>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</si>
  <si>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</si>
  <si>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</si>
  <si>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</si>
  <si>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</si>
  <si>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</si>
  <si>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</si>
  <si>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</si>
  <si>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</si>
  <si>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</si>
  <si>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</si>
  <si>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</si>
  <si>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</si>
  <si>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</si>
  <si>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</si>
  <si>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</si>
  <si>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</si>
  <si>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</si>
  <si>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</si>
  <si>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</si>
  <si>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</si>
  <si>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</si>
  <si>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</si>
  <si>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</si>
  <si>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</si>
  <si>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</si>
  <si>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</si>
  <si>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</si>
  <si>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</si>
  <si>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</si>
  <si>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</si>
  <si>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</si>
  <si>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</si>
  <si>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</si>
  <si>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</si>
  <si>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</si>
  <si>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</si>
  <si>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</si>
  <si>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</si>
  <si>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</si>
  <si>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</si>
  <si>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</si>
  <si>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</si>
  <si>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</si>
  <si>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</si>
  <si>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</si>
  <si>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</si>
  <si>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</si>
  <si>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</si>
  <si>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</si>
  <si>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</si>
  <si>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</si>
  <si>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</si>
  <si>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</si>
  <si>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</si>
  <si>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</si>
  <si>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</si>
  <si>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</si>
  <si>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</si>
  <si>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</si>
  <si>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</si>
  <si>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</si>
  <si>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</si>
  <si>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</si>
  <si>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</si>
  <si>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</si>
  <si>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</si>
  <si>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</si>
  <si>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</si>
  <si>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</si>
  <si>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</si>
  <si>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</si>
  <si>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</si>
  <si>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</si>
  <si>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</si>
  <si>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</si>
  <si>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</si>
  <si>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</si>
  <si>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</si>
  <si>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</si>
  <si>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</si>
  <si>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</si>
  <si>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</si>
  <si>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</si>
  <si>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</si>
  <si>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</si>
  <si>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</si>
  <si>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</si>
  <si>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</si>
  <si>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</si>
  <si>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</si>
  <si>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</si>
  <si>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</si>
  <si>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</si>
  <si>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</si>
  <si>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</si>
  <si>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</si>
  <si>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</si>
  <si>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</si>
  <si>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</si>
  <si>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</si>
  <si>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</si>
  <si>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</si>
  <si>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</si>
  <si>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</si>
  <si>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</si>
  <si>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</si>
  <si>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</si>
  <si>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</si>
  <si>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</si>
  <si>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</si>
  <si>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</si>
  <si>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</si>
  <si>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</si>
  <si>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</si>
  <si>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</si>
  <si>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</si>
  <si>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</si>
  <si>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</si>
  <si>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</si>
  <si>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</si>
  <si>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</si>
  <si>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</si>
  <si>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</si>
  <si>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</si>
  <si>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</si>
  <si>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</si>
  <si>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</si>
  <si>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</si>
  <si>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</si>
  <si>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</si>
  <si>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</si>
  <si>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</si>
  <si>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</si>
  <si>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</si>
  <si>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</si>
  <si>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</si>
  <si>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</si>
  <si>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</si>
  <si>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</si>
  <si>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</si>
  <si>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</si>
  <si>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</si>
  <si>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</si>
  <si>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</si>
  <si>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</si>
  <si>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</si>
  <si>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</si>
  <si>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</si>
  <si>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</si>
  <si>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</si>
  <si>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</si>
  <si>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</si>
  <si>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</si>
  <si>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</si>
  <si>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</si>
  <si>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</si>
  <si>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</si>
  <si>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</si>
  <si>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</si>
  <si>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</si>
  <si>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</si>
  <si>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</si>
  <si>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</si>
  <si>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</si>
  <si>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</si>
  <si>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</si>
  <si>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</si>
  <si>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</si>
  <si>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</si>
  <si>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</si>
  <si>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</si>
  <si>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</si>
  <si>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</si>
  <si>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</si>
  <si>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</si>
  <si>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</si>
  <si>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</si>
  <si>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</si>
  <si>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</si>
  <si>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</si>
  <si>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</si>
  <si>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</si>
  <si>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</si>
  <si>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</si>
  <si>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</si>
  <si>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</si>
  <si>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</si>
  <si>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</si>
  <si>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</si>
  <si>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</si>
  <si>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</si>
  <si>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</si>
  <si>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</si>
  <si>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</si>
  <si>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</si>
  <si>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</si>
  <si>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</si>
  <si>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</si>
  <si>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</si>
  <si>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</si>
  <si>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</si>
  <si>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</si>
  <si>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</si>
  <si>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</si>
  <si>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</si>
  <si>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</si>
  <si>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</si>
  <si>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</si>
  <si>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</si>
  <si>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</si>
  <si>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</si>
  <si>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</si>
  <si>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</si>
  <si>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</si>
  <si>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</si>
  <si>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</si>
  <si>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</si>
  <si>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</si>
  <si>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</si>
  <si>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</si>
  <si>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</si>
  <si>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</si>
  <si>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</si>
  <si>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>Tôle bac couleur verte foncée y/c toutes sujection de pose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</si>
  <si>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</si>
  <si>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</si>
  <si>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</si>
  <si>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</si>
  <si>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</si>
  <si>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</si>
  <si>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</si>
  <si>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</si>
  <si>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</si>
  <si>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</si>
  <si>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</si>
  <si>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</si>
  <si>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</si>
  <si>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</si>
  <si>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</si>
  <si>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</si>
  <si>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</si>
  <si>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</si>
  <si>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</si>
  <si>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</si>
  <si>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</si>
  <si>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</si>
  <si>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</si>
  <si>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</si>
  <si>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</si>
  <si>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</si>
  <si>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</si>
  <si>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</si>
  <si>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</si>
  <si>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</si>
  <si>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</si>
  <si>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</si>
  <si>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</si>
  <si>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</si>
  <si>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</si>
  <si>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TROIS SALLES  CLASSES + BUREAU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</si>
  <si>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</si>
  <si>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</si>
  <si>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</si>
  <si>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- Tableau synoptique de 3,00 x 140 pour classes et bureau</t>
  </si>
  <si>
    <t>TOTAL 3 CLASSES + BUREAU</t>
  </si>
  <si>
    <t>TRAVAUX PRELIMINAIRES ET ASSAINISSEMENT</t>
  </si>
  <si>
    <t>1.2.1</t>
  </si>
  <si>
    <t>1.2.2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</si>
  <si>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</si>
  <si>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</si>
  <si>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</si>
  <si>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</si>
  <si>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</si>
  <si>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</si>
  <si>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</si>
  <si>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</si>
  <si>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</si>
  <si>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</si>
  <si>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</si>
  <si>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</si>
  <si>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</si>
  <si>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</si>
  <si>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</si>
  <si>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</si>
  <si>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</si>
  <si>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</si>
  <si>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</si>
  <si>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</si>
  <si>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</si>
  <si>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</si>
  <si>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</si>
  <si>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</si>
  <si>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</si>
  <si>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</si>
  <si>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</si>
  <si>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5.1.1.1</t>
  </si>
  <si>
    <t>5.1.2</t>
  </si>
  <si>
    <t>5.1.2.1</t>
  </si>
  <si>
    <t>5.1.4</t>
  </si>
  <si>
    <t>5.1.4.1</t>
  </si>
  <si>
    <t>Tire- fonds complets</t>
  </si>
  <si>
    <t>6.1</t>
  </si>
  <si>
    <t>6.1.1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</si>
  <si>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</si>
  <si>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</si>
  <si>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</si>
  <si>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</si>
  <si>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</si>
  <si>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</si>
  <si>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</si>
  <si>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</si>
  <si>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</si>
  <si>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</si>
  <si>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>9.1.1.2</t>
  </si>
  <si>
    <t xml:space="preserve"> - Peinture glycérophtalique sur portes métalliques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</si>
  <si>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</si>
  <si>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</si>
  <si>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</si>
  <si>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</si>
  <si>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Couverture en tôle bac aluzinc colorée 7/10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</si>
  <si>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7/10 y/c tire-fonds</t>
    </r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</si>
  <si>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</si>
  <si>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</si>
  <si>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</si>
  <si>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</si>
  <si>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</si>
  <si>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</si>
  <si>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</si>
  <si>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</si>
  <si>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</si>
  <si>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</si>
  <si>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CONSTRUCTION D'UN BATIMENT TROIS CLASSES + BUREAU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</si>
  <si>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</si>
  <si>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</si>
  <si>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</si>
  <si>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</si>
  <si>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</si>
  <si>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CONSTRUCTION DE TROIS SALLES  CLASSES 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</si>
  <si>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</si>
  <si>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</si>
  <si>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</si>
  <si>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         * Enduits int. 1 face dosés à 250 kg/m3 </t>
  </si>
  <si>
    <t>2.1.1.5</t>
  </si>
  <si>
    <t xml:space="preserve">Chape ciment lissée  dosé à 300 kg/m3 </t>
  </si>
  <si>
    <t>ASSAINISSEMENT SECONDAIRE</t>
  </si>
  <si>
    <t xml:space="preserve"> * Dim. 60 x 90</t>
  </si>
  <si>
    <t>TOTAL ASSAINISSEMENT SECONDAIRE</t>
  </si>
  <si>
    <t>Coéfficient d'éloignement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</si>
  <si>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</si>
  <si>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</si>
  <si>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</si>
  <si>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</si>
  <si>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</si>
  <si>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</si>
  <si>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</si>
  <si>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</si>
  <si>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</si>
  <si>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</si>
  <si>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7.2.2</t>
  </si>
  <si>
    <t>7.2.3</t>
  </si>
  <si>
    <t>7.3.1</t>
  </si>
  <si>
    <t>7.3.2</t>
  </si>
  <si>
    <t>FORAGE A ENERGIE SOLAIRE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</si>
  <si>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</si>
  <si>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</si>
  <si>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</si>
  <si>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</si>
  <si>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</si>
  <si>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</si>
  <si>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</si>
  <si>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</si>
  <si>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</si>
  <si>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</si>
  <si>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</si>
  <si>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</si>
  <si>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</si>
  <si>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t>ens</t>
  </si>
  <si>
    <t>TOTAL  HT</t>
  </si>
  <si>
    <t>Peinture Glycéro sur ouvrages métalliques</t>
  </si>
  <si>
    <t xml:space="preserve"> - Vinyle sur murs intérieurs  et claustras 2 couches</t>
  </si>
  <si>
    <t xml:space="preserve"> - Peinture glycérophtalique sur parties courantes </t>
  </si>
  <si>
    <t xml:space="preserve"> - Vinyle sur murs extérieurs  et claustras 2 couches</t>
  </si>
  <si>
    <t>Faïence h=1 m</t>
  </si>
  <si>
    <t xml:space="preserve">Grès cérame 15x15 cm au sol </t>
  </si>
  <si>
    <t>sol et faïence</t>
  </si>
  <si>
    <t>FF</t>
  </si>
  <si>
    <t>Installation d'un dispositif de lavage des mains à pédale</t>
  </si>
  <si>
    <t xml:space="preserve">Révision du système de ventilation des fosses diam 80 y/c tout accessoire de pose </t>
  </si>
  <si>
    <t>Fourniture et pose de WC turque</t>
  </si>
  <si>
    <t xml:space="preserve">  * 70 x 150 pour terrasse</t>
  </si>
  <si>
    <t>Portes métalliques</t>
  </si>
  <si>
    <t>Etanchéité sur les têtes des tire-fond</t>
  </si>
  <si>
    <t>Accessoires de pose</t>
  </si>
  <si>
    <t>Bardage en tôle bac alu zinc 7/10 ht=30</t>
  </si>
  <si>
    <t xml:space="preserve">         * Enduits int. dosés à 250 kg/m3 </t>
  </si>
  <si>
    <t xml:space="preserve">         * Enduits ext. dosés à 250 kg/m3 </t>
  </si>
  <si>
    <t xml:space="preserve">- Agglos 15 creux </t>
  </si>
  <si>
    <t>- Dalettes de fermeture en béton armé ép. = 10 cm</t>
  </si>
  <si>
    <t>Ecurage des fosses</t>
  </si>
  <si>
    <t>Nettoyage à l'intérieur des cabines et extérieur du bloc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</si>
  <si>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</si>
  <si>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</si>
  <si>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</si>
  <si>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</si>
  <si>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</si>
  <si>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</si>
  <si>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</si>
  <si>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</si>
  <si>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</si>
  <si>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>REHABILITATION DE LATRINE</t>
  </si>
  <si>
    <t>CONSTRUCTION LATRINE 6 CABINES (2X3)</t>
  </si>
  <si>
    <t>RECAPITULATIF LOT 4 GNALEGRIBOUO</t>
  </si>
  <si>
    <t>Nettoyage et décapage du terrain à la machine</t>
  </si>
  <si>
    <t>Panne de 8 x 8cm y/c dépose de couverture</t>
  </si>
  <si>
    <t xml:space="preserve">Total travaux d'achèvement de latrine (4 cabine) à fosse sèche avec dispositifs de lavage des mains </t>
  </si>
  <si>
    <t xml:space="preserve">TRAVAUX DE REHABILITATION DE LATRINES (4 cabines) à fosse sèche (FS) </t>
  </si>
  <si>
    <t xml:space="preserve">   CONSTRUCTION D'UN BATIMENT TROIS CLASSES 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</si>
  <si>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</si>
  <si>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>Nettoyage et décapage du terrain</t>
  </si>
  <si>
    <t>2.1.3.</t>
  </si>
  <si>
    <t xml:space="preserve"> - Dallage au sol en béton armé dosé à 300 kg/m3</t>
  </si>
  <si>
    <t xml:space="preserve"> - Agglos creux de 15 cm d'épaisseur en BTC</t>
  </si>
  <si>
    <t>2.2.2.6</t>
  </si>
  <si>
    <t>Placards et bibliothèques en maçonnerie des classes et bureaux (140 cm x 200 cm) avec dalette et étagères en BA</t>
  </si>
  <si>
    <t>2.3.4.3</t>
  </si>
  <si>
    <t>- Tableau synoptique de 3,00 x 140 pour bueaur et classes</t>
  </si>
  <si>
    <t>3.1.3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</si>
  <si>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 y/c tire-fonds</t>
    </r>
  </si>
  <si>
    <t>Tôle onduilée  ht= 40 cm</t>
  </si>
  <si>
    <t>Porte métallique  90 x 220 pour classes</t>
  </si>
  <si>
    <t>Pour les salles de classe</t>
  </si>
  <si>
    <t>7.4</t>
  </si>
  <si>
    <t>7.4.1</t>
  </si>
  <si>
    <t>7.4.2</t>
  </si>
  <si>
    <t>TOTAL 3 CLASSES</t>
  </si>
  <si>
    <t>TOTAL GENERAL 3 CLASSES HT</t>
  </si>
  <si>
    <t>Couverture en tole bac aluzinc colorée ép 0,30/0,32 y/c tire-fonds</t>
  </si>
  <si>
    <t>Couverture en tôle bac alu zinc  ép 0,30/0,32</t>
  </si>
  <si>
    <r>
      <t>CONSTRUCTION  D'UN  FORAGE  AVEC ENERGIE SOLAIRE EQUIPE  ET  D'UN  RESERVOIR  DE  3  M</t>
    </r>
    <r>
      <rPr>
        <b/>
        <vertAlign val="superscript"/>
        <sz val="11"/>
        <color theme="0"/>
        <rFont val="Corbel"/>
        <family val="2"/>
      </rPr>
      <t xml:space="preserve">3   </t>
    </r>
    <r>
      <rPr>
        <b/>
        <sz val="11"/>
        <color theme="0"/>
        <rFont val="Corbel"/>
        <family val="2"/>
      </rPr>
      <t xml:space="preserve">POLY  TANK  SUR  UN  SUPPORT METALLIQUE  DE  5  M  DE  HAUT  
</t>
    </r>
  </si>
  <si>
    <t>N°</t>
  </si>
  <si>
    <t>DESIGNATIONS</t>
  </si>
  <si>
    <t>Qté</t>
  </si>
  <si>
    <t>P.U</t>
  </si>
  <si>
    <t>Montant</t>
  </si>
  <si>
    <r>
      <rPr>
        <b/>
        <sz val="9"/>
        <rFont val="Arial"/>
        <family val="2"/>
      </rPr>
      <t>ETUDE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GEOPHYSIQUE</t>
    </r>
  </si>
  <si>
    <r>
      <rPr>
        <sz val="9"/>
        <rFont val="Arial"/>
        <family val="2"/>
      </rPr>
      <t>Etude géomorphologique et hydrogéologique pour l’implantation du forage</t>
    </r>
  </si>
  <si>
    <t>ft</t>
  </si>
  <si>
    <t>FORATION</t>
  </si>
  <si>
    <r>
      <rPr>
        <sz val="9"/>
        <rFont val="Arial"/>
        <family val="2"/>
      </rPr>
      <t>Fonçage dans l'altérite</t>
    </r>
  </si>
  <si>
    <r>
      <rPr>
        <sz val="9"/>
        <rFont val="Arial"/>
        <family val="2"/>
      </rPr>
      <t>Fonçage dans le socle</t>
    </r>
  </si>
  <si>
    <t>TUBAGES</t>
  </si>
  <si>
    <r>
      <rPr>
        <sz val="9"/>
        <rFont val="Arial"/>
        <family val="2"/>
      </rPr>
      <t>Fourniture et pose de pvc Ø 125/140 plein de qualité alimentaire</t>
    </r>
  </si>
  <si>
    <r>
      <rPr>
        <sz val="9"/>
        <rFont val="Arial"/>
        <family val="2"/>
      </rPr>
      <t>Fourniture et pose de pvc Ø 125/140 crépine de qualité alimentaire</t>
    </r>
  </si>
  <si>
    <r>
      <rPr>
        <sz val="9"/>
        <rFont val="Arial"/>
        <family val="2"/>
      </rPr>
      <t>Gravillonnage de l'espace annulaire avec du gravier quartzeux roulé de
diamètre 2/4 mm</t>
    </r>
  </si>
  <si>
    <r>
      <rPr>
        <sz val="9"/>
        <rFont val="Arial"/>
        <family val="2"/>
      </rPr>
      <t>Remblai et cimentation en surface sur 5 mètres de profondeur</t>
    </r>
  </si>
  <si>
    <r>
      <rPr>
        <b/>
        <sz val="9"/>
        <rFont val="Arial"/>
        <family val="2"/>
      </rPr>
      <t>TRAITEMENT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D'EAU</t>
    </r>
  </si>
  <si>
    <r>
      <rPr>
        <sz val="9"/>
        <rFont val="Arial"/>
        <family val="2"/>
      </rPr>
      <t>Essai de pompage de 24 heures au moins avec remontée</t>
    </r>
  </si>
  <si>
    <r>
      <rPr>
        <b/>
        <sz val="9"/>
        <rFont val="Arial"/>
        <family val="2"/>
      </rPr>
      <t>ANALYSE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L'EAU</t>
    </r>
  </si>
  <si>
    <r>
      <rPr>
        <sz val="9"/>
        <rFont val="Arial"/>
        <family val="2"/>
      </rPr>
      <t>Analyse physico chimique et Microbiologique de l'eau</t>
    </r>
  </si>
  <si>
    <r>
      <rPr>
        <b/>
        <sz val="9"/>
        <rFont val="Arial"/>
        <family val="2"/>
      </rPr>
      <t>POMPE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IMERGEE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HYBRIDE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SOLAIRE</t>
    </r>
  </si>
  <si>
    <r>
      <rPr>
        <sz val="9"/>
        <rFont val="Arial"/>
        <family val="2"/>
      </rPr>
      <t>Fourniture  et  pose  d'un  réservoir  de  3 m</t>
    </r>
    <r>
      <rPr>
        <vertAlign val="superscript"/>
        <sz val="6"/>
        <rFont val="Arial"/>
        <family val="2"/>
      </rPr>
      <t xml:space="preserve">3   </t>
    </r>
    <r>
      <rPr>
        <sz val="9"/>
        <rFont val="Arial"/>
        <family val="2"/>
      </rPr>
      <t>sur  support</t>
    </r>
    <r>
      <rPr>
        <sz val="10"/>
        <rFont val="Arial"/>
        <family val="2"/>
      </rPr>
      <t xml:space="preserve"> métallique (voir image en annexe</t>
    </r>
  </si>
  <si>
    <r>
      <rPr>
        <sz val="9"/>
        <rFont val="Arial"/>
        <family val="2"/>
      </rPr>
      <t>Pompe immergée de 2 à  3m</t>
    </r>
    <r>
      <rPr>
        <vertAlign val="superscript"/>
        <sz val="6"/>
        <rFont val="Arial"/>
        <family val="2"/>
      </rPr>
      <t>3</t>
    </r>
    <r>
      <rPr>
        <sz val="9"/>
        <rFont val="Arial"/>
        <family val="2"/>
      </rPr>
      <t>/h à 90 m de HMT,</t>
    </r>
  </si>
  <si>
    <r>
      <rPr>
        <sz val="9"/>
        <rFont val="Arial"/>
        <family val="2"/>
      </rPr>
      <t>F/P de panneaux solaires et accessoires de pose</t>
    </r>
  </si>
  <si>
    <r>
      <rPr>
        <sz val="9"/>
        <rFont val="Arial"/>
        <family val="2"/>
      </rPr>
      <t>Fourniture de câbles titanex</t>
    </r>
  </si>
  <si>
    <r>
      <rPr>
        <sz val="9"/>
        <rFont val="Arial"/>
        <family val="2"/>
      </rPr>
      <t>Fourniture et pose d'une colonne d'exhaure en matériau flexible</t>
    </r>
  </si>
  <si>
    <r>
      <rPr>
        <sz val="9"/>
        <rFont val="Arial"/>
        <family val="2"/>
      </rPr>
      <t>Margelle pour la pose de la tête de forage 1x1X0.5 m</t>
    </r>
  </si>
  <si>
    <r>
      <rPr>
        <sz val="9"/>
        <rFont val="Arial"/>
        <family val="2"/>
      </rPr>
      <t>Tête de forage en acier galvanisé DN 250</t>
    </r>
  </si>
  <si>
    <t>Manifold DN 50 comprenant, un filtre, un compteur,</t>
  </si>
  <si>
    <t xml:space="preserve">    u</t>
  </si>
  <si>
    <t>CLOTURE de 2,00 x 2,00 m</t>
  </si>
  <si>
    <t>Fouille en rigole 40 x 50 cm</t>
  </si>
  <si>
    <t>Béton de semelle filante en BA</t>
  </si>
  <si>
    <t>Soubassement en agglos 15 plein</t>
  </si>
  <si>
    <t>Béton de chainage bas en BA</t>
  </si>
  <si>
    <t>Mur en élévation en agglos 15 creux de 2,00 m de haut</t>
  </si>
  <si>
    <t>F/P de porte métallique de 2,00 x 1,00 m</t>
  </si>
  <si>
    <t xml:space="preserve">Peinture glycéro sur maçonnerie et ménuiserie métallique </t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</si>
  <si>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>HT</t>
    </r>
  </si>
  <si>
    <t>COEFFICIENT D'ELOIGNEMENT</t>
  </si>
  <si>
    <t>TOTAL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</si>
</sst>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</numFmts>
  <fonts count="6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 "/>
    </font>
    <font>
      <b/>
      <u/>
      <sz val="14"/>
      <name val="Arial "/>
    </font>
    <font>
      <b/>
      <sz val="11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b/>
      <sz val="11"/>
      <color theme="0"/>
      <name val="Corbel"/>
      <family val="2"/>
    </font>
    <font>
      <b/>
      <vertAlign val="superscript"/>
      <sz val="11"/>
      <color theme="0"/>
      <name val="Corbe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6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8"/>
      <color rgb="FF92D05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3" fillId="0" borderId="0"/>
    <xf numFmtId="43" fontId="33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3" fontId="4" fillId="0" borderId="10" xfId="2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1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4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2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6" fillId="0" borderId="16" xfId="0" applyFont="1" applyBorder="1" applyAlignment="1">
      <alignment horizontal="left"/>
    </xf>
    <xf numFmtId="0" fontId="37" fillId="0" borderId="16" xfId="0" applyFont="1" applyBorder="1" applyAlignment="1">
      <alignment wrapText="1"/>
    </xf>
    <xf numFmtId="0" fontId="36" fillId="0" borderId="18" xfId="0" applyFont="1" applyBorder="1" applyAlignment="1">
      <alignment horizontal="center"/>
    </xf>
    <xf numFmtId="2" fontId="36" fillId="0" borderId="18" xfId="0" applyNumberFormat="1" applyFont="1" applyBorder="1" applyAlignment="1">
      <alignment horizontal="center"/>
    </xf>
    <xf numFmtId="3" fontId="36" fillId="0" borderId="18" xfId="0" applyNumberFormat="1" applyFont="1" applyBorder="1" applyAlignment="1" applyProtection="1">
      <alignment horizontal="center"/>
      <protection locked="0"/>
    </xf>
    <xf numFmtId="43" fontId="36" fillId="0" borderId="16" xfId="2" applyFont="1" applyBorder="1" applyAlignment="1" applyProtection="1">
      <alignment horizontal="center"/>
    </xf>
    <xf numFmtId="0" fontId="38" fillId="0" borderId="0" xfId="0" applyFont="1"/>
    <xf numFmtId="0" fontId="36" fillId="0" borderId="16" xfId="0" applyFont="1" applyBorder="1"/>
    <xf numFmtId="0" fontId="39" fillId="9" borderId="14" xfId="0" applyFont="1" applyFill="1" applyBorder="1"/>
    <xf numFmtId="0" fontId="3" fillId="0" borderId="0" xfId="4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49" fontId="2" fillId="0" borderId="0" xfId="4" applyNumberFormat="1" applyFont="1" applyAlignment="1">
      <alignment horizontal="left" vertical="center"/>
    </xf>
    <xf numFmtId="0" fontId="1" fillId="0" borderId="0" xfId="4" applyFont="1" applyAlignment="1">
      <alignment vertical="center"/>
    </xf>
    <xf numFmtId="166" fontId="39" fillId="9" borderId="10" xfId="14" applyNumberFormat="1" applyFont="1" applyFill="1" applyBorder="1" applyAlignment="1" applyProtection="1">
      <alignment horizontal="center" vertical="center"/>
    </xf>
    <xf numFmtId="0" fontId="6" fillId="9" borderId="14" xfId="4" applyFont="1" applyFill="1" applyBorder="1" applyAlignment="1" applyProtection="1">
      <alignment horizontal="center" vertical="center"/>
      <protection locked="0"/>
    </xf>
    <xf numFmtId="2" fontId="6" fillId="9" borderId="14" xfId="4" applyNumberFormat="1" applyFont="1" applyFill="1" applyBorder="1" applyAlignment="1">
      <alignment horizontal="center" vertical="center"/>
    </xf>
    <xf numFmtId="0" fontId="5" fillId="9" borderId="14" xfId="4" applyFont="1" applyFill="1" applyBorder="1" applyAlignment="1">
      <alignment horizontal="center" vertical="center"/>
    </xf>
    <xf numFmtId="0" fontId="6" fillId="9" borderId="14" xfId="4" applyFont="1" applyFill="1" applyBorder="1" applyAlignment="1">
      <alignment horizontal="center" vertical="center"/>
    </xf>
    <xf numFmtId="0" fontId="5" fillId="9" borderId="13" xfId="4" applyFont="1" applyFill="1" applyBorder="1" applyAlignment="1">
      <alignment vertical="center"/>
    </xf>
    <xf numFmtId="0" fontId="40" fillId="0" borderId="0" xfId="4" applyFont="1" applyAlignment="1">
      <alignment horizontal="center" vertical="center"/>
    </xf>
    <xf numFmtId="0" fontId="2" fillId="0" borderId="0" xfId="4" applyFont="1" applyAlignment="1" applyProtection="1">
      <alignment horizontal="center" vertical="center"/>
      <protection locked="0"/>
    </xf>
    <xf numFmtId="3" fontId="24" fillId="9" borderId="1" xfId="4" applyNumberFormat="1" applyFont="1" applyFill="1" applyBorder="1" applyAlignment="1">
      <alignment horizontal="center" vertical="center"/>
    </xf>
    <xf numFmtId="0" fontId="23" fillId="9" borderId="1" xfId="4" applyFont="1" applyFill="1" applyBorder="1" applyAlignment="1" applyProtection="1">
      <alignment vertical="center" wrapText="1"/>
      <protection locked="0"/>
    </xf>
    <xf numFmtId="0" fontId="23" fillId="9" borderId="1" xfId="4" applyFont="1" applyFill="1" applyBorder="1" applyAlignment="1">
      <alignment vertical="center" wrapText="1"/>
    </xf>
    <xf numFmtId="49" fontId="2" fillId="0" borderId="1" xfId="4" applyNumberFormat="1" applyFont="1" applyBorder="1" applyAlignment="1">
      <alignment vertical="center"/>
    </xf>
    <xf numFmtId="49" fontId="2" fillId="0" borderId="1" xfId="4" applyNumberFormat="1" applyFont="1" applyBorder="1" applyAlignment="1" applyProtection="1">
      <alignment vertical="center"/>
      <protection locked="0"/>
    </xf>
    <xf numFmtId="49" fontId="2" fillId="0" borderId="2" xfId="4" applyNumberFormat="1" applyFont="1" applyBorder="1" applyAlignment="1">
      <alignment vertical="center"/>
    </xf>
    <xf numFmtId="3" fontId="24" fillId="5" borderId="1" xfId="4" applyNumberFormat="1" applyFont="1" applyFill="1" applyBorder="1" applyAlignment="1">
      <alignment horizontal="center" vertical="center"/>
    </xf>
    <xf numFmtId="3" fontId="2" fillId="5" borderId="1" xfId="4" applyNumberFormat="1" applyFont="1" applyFill="1" applyBorder="1" applyAlignment="1" applyProtection="1">
      <alignment horizontal="center" vertical="center"/>
      <protection locked="0"/>
    </xf>
    <xf numFmtId="3" fontId="2" fillId="5" borderId="1" xfId="4" applyNumberFormat="1" applyFont="1" applyFill="1" applyBorder="1" applyAlignment="1">
      <alignment horizontal="center" vertical="center"/>
    </xf>
    <xf numFmtId="0" fontId="22" fillId="5" borderId="1" xfId="4" applyFont="1" applyFill="1" applyBorder="1" applyAlignment="1">
      <alignment vertical="center" wrapText="1"/>
    </xf>
    <xf numFmtId="0" fontId="22" fillId="5" borderId="3" xfId="4" applyFont="1" applyFill="1" applyBorder="1" applyAlignment="1">
      <alignment horizontal="right" vertical="center" wrapText="1"/>
    </xf>
    <xf numFmtId="49" fontId="2" fillId="0" borderId="2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 applyProtection="1">
      <alignment horizontal="center" vertical="center"/>
      <protection locked="0"/>
    </xf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2" fillId="0" borderId="2" xfId="4" applyFont="1" applyBorder="1" applyAlignment="1">
      <alignment vertical="center"/>
    </xf>
    <xf numFmtId="0" fontId="22" fillId="0" borderId="3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3" fontId="2" fillId="4" borderId="1" xfId="4" applyNumberFormat="1" applyFont="1" applyFill="1" applyBorder="1" applyAlignment="1">
      <alignment horizontal="center" vertical="center"/>
    </xf>
    <xf numFmtId="3" fontId="2" fillId="4" borderId="1" xfId="4" applyNumberFormat="1" applyFont="1" applyFill="1" applyBorder="1" applyAlignment="1" applyProtection="1">
      <alignment horizontal="center" vertical="center"/>
      <protection locked="0"/>
    </xf>
    <xf numFmtId="3" fontId="2" fillId="4" borderId="1" xfId="4" applyNumberFormat="1" applyFont="1" applyFill="1" applyBorder="1" applyAlignment="1">
      <alignment horizontal="right" vertical="center"/>
    </xf>
    <xf numFmtId="0" fontId="22" fillId="4" borderId="3" xfId="4" applyFont="1" applyFill="1" applyBorder="1" applyAlignment="1">
      <alignment horizontal="left" vertical="center"/>
    </xf>
    <xf numFmtId="0" fontId="22" fillId="4" borderId="2" xfId="4" applyFont="1" applyFill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0" fontId="2" fillId="6" borderId="0" xfId="4" applyFont="1" applyFill="1" applyAlignment="1">
      <alignment vertical="center"/>
    </xf>
    <xf numFmtId="3" fontId="24" fillId="6" borderId="1" xfId="4" applyNumberFormat="1" applyFont="1" applyFill="1" applyBorder="1" applyAlignment="1">
      <alignment horizontal="center" vertical="center"/>
    </xf>
    <xf numFmtId="3" fontId="2" fillId="6" borderId="1" xfId="4" applyNumberFormat="1" applyFont="1" applyFill="1" applyBorder="1" applyAlignment="1" applyProtection="1">
      <alignment horizontal="center" vertical="center"/>
      <protection locked="0"/>
    </xf>
    <xf numFmtId="3" fontId="2" fillId="6" borderId="1" xfId="4" applyNumberFormat="1" applyFont="1" applyFill="1" applyBorder="1" applyAlignment="1">
      <alignment horizontal="center" vertical="center"/>
    </xf>
    <xf numFmtId="0" fontId="22" fillId="6" borderId="1" xfId="4" applyFont="1" applyFill="1" applyBorder="1" applyAlignment="1">
      <alignment vertical="center" wrapText="1"/>
    </xf>
    <xf numFmtId="0" fontId="22" fillId="6" borderId="1" xfId="4" applyFont="1" applyFill="1" applyBorder="1" applyAlignment="1">
      <alignment horizontal="right" vertical="center" wrapText="1"/>
    </xf>
    <xf numFmtId="49" fontId="2" fillId="6" borderId="2" xfId="4" applyNumberFormat="1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 wrapText="1"/>
    </xf>
    <xf numFmtId="3" fontId="2" fillId="0" borderId="1" xfId="4" applyNumberFormat="1" applyFont="1" applyBorder="1" applyAlignment="1">
      <alignment horizontal="right" vertical="center"/>
    </xf>
    <xf numFmtId="49" fontId="22" fillId="0" borderId="3" xfId="4" applyNumberFormat="1" applyFont="1" applyBorder="1" applyAlignment="1">
      <alignment horizontal="center" vertical="center"/>
    </xf>
    <xf numFmtId="3" fontId="2" fillId="5" borderId="1" xfId="4" applyNumberFormat="1" applyFont="1" applyFill="1" applyBorder="1" applyAlignment="1">
      <alignment horizontal="right" vertical="center"/>
    </xf>
    <xf numFmtId="49" fontId="2" fillId="0" borderId="2" xfId="4" applyNumberFormat="1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/>
    </xf>
    <xf numFmtId="0" fontId="22" fillId="0" borderId="3" xfId="4" applyFont="1" applyBorder="1" applyAlignment="1">
      <alignment horizontal="left" vertical="center"/>
    </xf>
    <xf numFmtId="0" fontId="2" fillId="13" borderId="0" xfId="4" applyFont="1" applyFill="1" applyAlignment="1">
      <alignment vertical="center"/>
    </xf>
    <xf numFmtId="0" fontId="22" fillId="0" borderId="3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16" fontId="22" fillId="0" borderId="3" xfId="4" applyNumberFormat="1" applyFont="1" applyBorder="1" applyAlignment="1">
      <alignment horizontal="center" vertical="center"/>
    </xf>
    <xf numFmtId="3" fontId="24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 applyProtection="1">
      <alignment horizontal="center" vertical="center"/>
      <protection locked="0"/>
    </xf>
    <xf numFmtId="3" fontId="2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>
      <alignment horizontal="right" vertical="center"/>
    </xf>
    <xf numFmtId="0" fontId="23" fillId="10" borderId="3" xfId="4" applyFont="1" applyFill="1" applyBorder="1" applyAlignment="1">
      <alignment horizontal="center" vertical="center" wrapText="1"/>
    </xf>
    <xf numFmtId="0" fontId="2" fillId="10" borderId="2" xfId="4" applyFont="1" applyFill="1" applyBorder="1" applyAlignment="1">
      <alignment horizontal="left" vertical="center"/>
    </xf>
    <xf numFmtId="3" fontId="2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3" xfId="4" applyFont="1" applyBorder="1" applyAlignment="1">
      <alignment vertical="center"/>
    </xf>
    <xf numFmtId="49" fontId="2" fillId="0" borderId="3" xfId="4" applyNumberFormat="1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22" fillId="6" borderId="3" xfId="4" applyFont="1" applyFill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22" fillId="5" borderId="3" xfId="4" applyFont="1" applyFill="1" applyBorder="1" applyAlignment="1">
      <alignment horizontal="right" vertical="center"/>
    </xf>
    <xf numFmtId="0" fontId="2" fillId="10" borderId="1" xfId="4" applyFont="1" applyFill="1" applyBorder="1" applyAlignment="1">
      <alignment horizontal="center" vertical="center"/>
    </xf>
    <xf numFmtId="0" fontId="23" fillId="10" borderId="3" xfId="4" applyFont="1" applyFill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20" fillId="2" borderId="27" xfId="4" applyFont="1" applyFill="1" applyBorder="1" applyAlignment="1">
      <alignment horizontal="center" vertical="center" wrapText="1"/>
    </xf>
    <xf numFmtId="0" fontId="20" fillId="2" borderId="27" xfId="4" applyFont="1" applyFill="1" applyBorder="1" applyAlignment="1" applyProtection="1">
      <alignment horizontal="center" vertical="center" wrapText="1"/>
      <protection locked="0"/>
    </xf>
    <xf numFmtId="49" fontId="20" fillId="2" borderId="3" xfId="4" applyNumberFormat="1" applyFont="1" applyFill="1" applyBorder="1" applyAlignment="1">
      <alignment horizontal="center" vertical="center" wrapText="1"/>
    </xf>
    <xf numFmtId="0" fontId="20" fillId="2" borderId="26" xfId="4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49" fontId="20" fillId="9" borderId="9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2" fillId="0" borderId="10" xfId="0" applyFont="1" applyBorder="1" applyAlignment="1">
      <alignment vertical="center"/>
    </xf>
    <xf numFmtId="0" fontId="42" fillId="0" borderId="13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0" fontId="6" fillId="6" borderId="16" xfId="0" quotePrefix="1" applyFont="1" applyFill="1" applyBorder="1"/>
    <xf numFmtId="0" fontId="6" fillId="6" borderId="18" xfId="0" applyFont="1" applyFill="1" applyBorder="1" applyAlignment="1">
      <alignment horizontal="center"/>
    </xf>
    <xf numFmtId="2" fontId="6" fillId="6" borderId="18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3" fontId="6" fillId="0" borderId="10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166" fontId="6" fillId="10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" fontId="6" fillId="6" borderId="0" xfId="2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9" fontId="24" fillId="8" borderId="3" xfId="4" applyNumberFormat="1" applyFont="1" applyFill="1" applyBorder="1" applyAlignment="1">
      <alignment horizontal="center" vertical="center" wrapText="1"/>
    </xf>
    <xf numFmtId="49" fontId="24" fillId="8" borderId="4" xfId="4" applyNumberFormat="1" applyFont="1" applyFill="1" applyBorder="1" applyAlignment="1">
      <alignment horizontal="center" vertical="center" wrapText="1"/>
    </xf>
    <xf numFmtId="49" fontId="24" fillId="8" borderId="7" xfId="4" applyNumberFormat="1" applyFont="1" applyFill="1" applyBorder="1" applyAlignment="1">
      <alignment horizontal="center" vertical="center" wrapText="1"/>
    </xf>
    <xf numFmtId="0" fontId="23" fillId="9" borderId="8" xfId="4" applyFont="1" applyFill="1" applyBorder="1" applyAlignment="1">
      <alignment horizontal="center" vertical="center" wrapText="1"/>
    </xf>
    <xf numFmtId="0" fontId="23" fillId="9" borderId="4" xfId="4" applyFont="1" applyFill="1" applyBorder="1" applyAlignment="1">
      <alignment horizontal="center" vertical="center" wrapText="1"/>
    </xf>
    <xf numFmtId="0" fontId="23" fillId="9" borderId="7" xfId="4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49" fontId="41" fillId="6" borderId="3" xfId="0" applyNumberFormat="1" applyFont="1" applyFill="1" applyBorder="1" applyAlignment="1">
      <alignment horizontal="center" vertical="center"/>
    </xf>
    <xf numFmtId="49" fontId="24" fillId="6" borderId="4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  <xf numFmtId="0" fontId="45" fillId="9" borderId="13" xfId="12" applyFont="1" applyFill="1" applyBorder="1" applyAlignment="1">
      <alignment horizontal="center" vertical="top" wrapText="1"/>
    </xf>
    <xf numFmtId="0" fontId="45" fillId="9" borderId="14" xfId="12" applyFont="1" applyFill="1" applyBorder="1" applyAlignment="1">
      <alignment horizontal="center" vertical="top" wrapText="1"/>
    </xf>
    <xf numFmtId="0" fontId="45" fillId="9" borderId="11" xfId="12" applyFont="1" applyFill="1" applyBorder="1" applyAlignment="1">
      <alignment horizontal="center" vertical="top" wrapText="1"/>
    </xf>
    <xf numFmtId="0" fontId="44" fillId="0" borderId="0" xfId="12" applyFont="1" applyAlignment="1">
      <alignment horizontal="center" vertical="top" wrapText="1"/>
    </xf>
    <xf numFmtId="0" fontId="44" fillId="0" borderId="0" xfId="12" applyFont="1" applyAlignment="1">
      <alignment horizontal="left" wrapText="1"/>
    </xf>
    <xf numFmtId="0" fontId="47" fillId="0" borderId="31" xfId="12" applyFont="1" applyBorder="1" applyAlignment="1">
      <alignment horizontal="center" vertical="top" wrapText="1"/>
    </xf>
    <xf numFmtId="0" fontId="47" fillId="0" borderId="32" xfId="12" applyFont="1" applyBorder="1" applyAlignment="1">
      <alignment horizontal="center" vertical="top" wrapText="1"/>
    </xf>
    <xf numFmtId="0" fontId="47" fillId="0" borderId="31" xfId="12" applyFont="1" applyBorder="1" applyAlignment="1">
      <alignment horizontal="right" vertical="top" wrapText="1"/>
    </xf>
    <xf numFmtId="1" fontId="48" fillId="0" borderId="33" xfId="12" applyNumberFormat="1" applyFont="1" applyBorder="1" applyAlignment="1">
      <alignment horizontal="center" vertical="top" shrinkToFit="1"/>
    </xf>
    <xf numFmtId="0" fontId="44" fillId="0" borderId="33" xfId="12" applyFont="1" applyBorder="1" applyAlignment="1">
      <alignment horizontal="left" vertical="top" wrapText="1"/>
    </xf>
    <xf numFmtId="0" fontId="44" fillId="0" borderId="34" xfId="12" applyFont="1" applyBorder="1" applyAlignment="1">
      <alignment horizontal="left" wrapText="1"/>
    </xf>
    <xf numFmtId="0" fontId="44" fillId="0" borderId="33" xfId="12" applyFont="1" applyBorder="1" applyAlignment="1">
      <alignment horizontal="left" wrapText="1"/>
    </xf>
    <xf numFmtId="0" fontId="49" fillId="0" borderId="34" xfId="12" applyFont="1" applyBorder="1" applyAlignment="1">
      <alignment horizontal="center" vertical="top" wrapText="1"/>
    </xf>
    <xf numFmtId="1" fontId="50" fillId="0" borderId="33" xfId="12" applyNumberFormat="1" applyFont="1" applyBorder="1" applyAlignment="1">
      <alignment horizontal="center" vertical="top" shrinkToFit="1"/>
    </xf>
    <xf numFmtId="0" fontId="44" fillId="0" borderId="33" xfId="12" applyFont="1" applyBorder="1" applyAlignment="1">
      <alignment horizontal="center" vertical="top" wrapText="1"/>
    </xf>
    <xf numFmtId="43" fontId="51" fillId="0" borderId="33" xfId="13" applyFont="1" applyFill="1" applyBorder="1" applyAlignment="1">
      <alignment horizontal="center" vertical="top" wrapText="1"/>
    </xf>
    <xf numFmtId="0" fontId="47" fillId="0" borderId="33" xfId="12" applyFont="1" applyBorder="1" applyAlignment="1">
      <alignment horizontal="left" vertical="top" wrapText="1"/>
    </xf>
    <xf numFmtId="0" fontId="49" fillId="0" borderId="34" xfId="12" applyFont="1" applyBorder="1" applyAlignment="1">
      <alignment horizontal="left" vertical="top" wrapText="1" indent="1"/>
    </xf>
    <xf numFmtId="1" fontId="50" fillId="0" borderId="33" xfId="12" applyNumberFormat="1" applyFont="1" applyBorder="1" applyAlignment="1">
      <alignment horizontal="right" vertical="top" indent="1" shrinkToFit="1"/>
    </xf>
    <xf numFmtId="0" fontId="44" fillId="0" borderId="0" xfId="12" applyFont="1" applyAlignment="1">
      <alignment horizontal="left" vertical="center" wrapText="1"/>
    </xf>
    <xf numFmtId="0" fontId="44" fillId="0" borderId="33" xfId="12" applyFont="1" applyBorder="1" applyAlignment="1">
      <alignment horizontal="left" vertical="center" wrapText="1"/>
    </xf>
    <xf numFmtId="0" fontId="1" fillId="0" borderId="33" xfId="12" applyFont="1" applyBorder="1" applyAlignment="1">
      <alignment horizontal="left" vertical="top" wrapText="1"/>
    </xf>
    <xf numFmtId="0" fontId="49" fillId="0" borderId="34" xfId="12" applyFont="1" applyBorder="1" applyAlignment="1">
      <alignment horizontal="left" vertical="top" wrapText="1"/>
    </xf>
    <xf numFmtId="0" fontId="53" fillId="6" borderId="33" xfId="12" applyFont="1" applyFill="1" applyBorder="1" applyAlignment="1">
      <alignment horizontal="left" vertical="top" wrapText="1"/>
    </xf>
    <xf numFmtId="0" fontId="44" fillId="6" borderId="33" xfId="12" applyFont="1" applyFill="1" applyBorder="1" applyAlignment="1">
      <alignment horizontal="left" vertical="top" wrapText="1"/>
    </xf>
    <xf numFmtId="0" fontId="49" fillId="6" borderId="34" xfId="12" applyFont="1" applyFill="1" applyBorder="1" applyAlignment="1">
      <alignment horizontal="center" vertical="top" wrapText="1"/>
    </xf>
    <xf numFmtId="1" fontId="50" fillId="6" borderId="33" xfId="12" applyNumberFormat="1" applyFont="1" applyFill="1" applyBorder="1" applyAlignment="1">
      <alignment horizontal="center" vertical="top" shrinkToFit="1"/>
    </xf>
    <xf numFmtId="2" fontId="50" fillId="6" borderId="33" xfId="12" applyNumberFormat="1" applyFont="1" applyFill="1" applyBorder="1" applyAlignment="1">
      <alignment horizontal="center" vertical="top" shrinkToFit="1"/>
    </xf>
    <xf numFmtId="1" fontId="54" fillId="0" borderId="33" xfId="12" applyNumberFormat="1" applyFont="1" applyBorder="1" applyAlignment="1">
      <alignment horizontal="center" vertical="top" shrinkToFit="1"/>
    </xf>
    <xf numFmtId="0" fontId="44" fillId="5" borderId="34" xfId="12" applyFont="1" applyFill="1" applyBorder="1" applyAlignment="1">
      <alignment horizontal="center" vertical="top" wrapText="1"/>
    </xf>
    <xf numFmtId="0" fontId="44" fillId="5" borderId="35" xfId="12" applyFont="1" applyFill="1" applyBorder="1" applyAlignment="1">
      <alignment horizontal="center" vertical="top" wrapText="1"/>
    </xf>
    <xf numFmtId="0" fontId="44" fillId="5" borderId="36" xfId="12" applyFont="1" applyFill="1" applyBorder="1" applyAlignment="1">
      <alignment horizontal="center" vertical="top" wrapText="1"/>
    </xf>
    <xf numFmtId="43" fontId="44" fillId="5" borderId="33" xfId="12" applyNumberFormat="1" applyFont="1" applyFill="1" applyBorder="1" applyAlignment="1">
      <alignment horizontal="center" vertical="top" wrapText="1"/>
    </xf>
    <xf numFmtId="0" fontId="35" fillId="0" borderId="0" xfId="12" applyAlignment="1">
      <alignment horizontal="center"/>
    </xf>
    <xf numFmtId="0" fontId="35" fillId="0" borderId="0" xfId="12"/>
    <xf numFmtId="0" fontId="56" fillId="0" borderId="0" xfId="12" applyFont="1" applyAlignment="1">
      <alignment horizontal="center"/>
    </xf>
    <xf numFmtId="0" fontId="54" fillId="6" borderId="0" xfId="12" applyFont="1" applyFill="1" applyAlignment="1">
      <alignment vertical="center" wrapText="1"/>
    </xf>
    <xf numFmtId="0" fontId="54" fillId="5" borderId="13" xfId="12" applyFont="1" applyFill="1" applyBorder="1" applyAlignment="1">
      <alignment horizontal="center" vertical="center" wrapText="1"/>
    </xf>
    <xf numFmtId="0" fontId="35" fillId="5" borderId="14" xfId="12" applyFill="1" applyBorder="1"/>
    <xf numFmtId="10" fontId="57" fillId="5" borderId="14" xfId="12" applyNumberFormat="1" applyFont="1" applyFill="1" applyBorder="1" applyAlignment="1">
      <alignment horizontal="center" vertical="center" wrapText="1"/>
    </xf>
    <xf numFmtId="167" fontId="58" fillId="5" borderId="11" xfId="12" applyNumberFormat="1" applyFont="1" applyFill="1" applyBorder="1"/>
    <xf numFmtId="0" fontId="35" fillId="6" borderId="0" xfId="12" applyFill="1"/>
    <xf numFmtId="0" fontId="54" fillId="5" borderId="14" xfId="12" applyFont="1" applyFill="1" applyBorder="1" applyAlignment="1">
      <alignment horizontal="center" vertical="center" wrapText="1"/>
    </xf>
    <xf numFmtId="0" fontId="59" fillId="5" borderId="14" xfId="12" applyFont="1" applyFill="1" applyBorder="1" applyAlignment="1">
      <alignment horizontal="center" vertical="center" wrapText="1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244475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2446020</xdr:colOff>
      <xdr:row>0</xdr:row>
      <xdr:rowOff>152400</xdr:rowOff>
    </xdr:from>
    <xdr:to>
      <xdr:col>2</xdr:col>
      <xdr:colOff>236855</xdr:colOff>
      <xdr:row>5</xdr:row>
      <xdr:rowOff>38100</xdr:rowOff>
    </xdr:to>
    <xdr:pic>
      <xdr:nvPicPr>
        <xdr:cNvPr id="3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3477DA8F-0EA2-4E0B-AE2F-E52670C3E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820" y="15240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97028</xdr:colOff>
      <xdr:row>0</xdr:row>
      <xdr:rowOff>0</xdr:rowOff>
    </xdr:from>
    <xdr:ext cx="6606540" cy="10795"/>
    <xdr:sp macro="" textlink="">
      <xdr:nvSpPr>
        <xdr:cNvPr id="6" name="Shape 2">
          <a:extLst>
            <a:ext uri="{FF2B5EF4-FFF2-40B4-BE49-F238E27FC236}">
              <a16:creationId xmlns:a16="http://schemas.microsoft.com/office/drawing/2014/main" id="{F4F3F5B9-E96F-4A7F-87E2-E54C1998F353}"/>
            </a:ext>
          </a:extLst>
        </xdr:cNvPr>
        <xdr:cNvSpPr/>
      </xdr:nvSpPr>
      <xdr:spPr>
        <a:xfrm>
          <a:off x="218948" y="0"/>
          <a:ext cx="6606540" cy="10795"/>
        </a:xfrm>
        <a:custGeom>
          <a:avLst/>
          <a:gdLst/>
          <a:ahLst/>
          <a:cxnLst/>
          <a:rect l="0" t="0" r="0" b="0"/>
          <a:pathLst>
            <a:path w="6606540" h="10795">
              <a:moveTo>
                <a:pt x="6606539" y="0"/>
              </a:moveTo>
              <a:lnTo>
                <a:pt x="0" y="0"/>
              </a:lnTo>
              <a:lnTo>
                <a:pt x="0" y="10667"/>
              </a:lnTo>
              <a:lnTo>
                <a:pt x="6606539" y="10667"/>
              </a:lnTo>
              <a:lnTo>
                <a:pt x="6606539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cocoainitiative-my.sharepoint.com/personal/k_loukou_cocoainitiative_org/Documents/Documents/loukou/ICI/DAO/BC/2025/HSY%20SCHOOL/CHOIX%20COMMUNAUTES/DQE/7-%20LOT%206%20AVIATION.xlsx" TargetMode="External"/><Relationship Id="rId1" Type="http://schemas.openxmlformats.org/officeDocument/2006/relationships/externalLinkPath" Target="/personal/k_loukou_cocoainitiative_org/Documents/Documents/loukou/ICI/DAO/BC/2025/HSY%20SCHOOL/CHOIX%20COMMUNAUTES/DQE/7-%20LOT%206%20AV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HA 3 cls + bur"/>
      <sheetName val="DQE 3 cls + bureau "/>
      <sheetName val="DQE 3 cls"/>
      <sheetName val="DQE cantine"/>
      <sheetName val="DQE latrine 3 blocs 2 cabines "/>
      <sheetName val="DQE Forage à énergie solaire"/>
      <sheetName val=" aménagement aire de jeux"/>
      <sheetName val="Recap"/>
      <sheetName val="REHA EPP BROUKRO"/>
    </sheetNames>
    <sheetDataSet>
      <sheetData sheetId="0"/>
      <sheetData sheetId="1"/>
      <sheetData sheetId="2">
        <row r="114">
          <cell r="F114"/>
        </row>
      </sheetData>
      <sheetData sheetId="3"/>
      <sheetData sheetId="4">
        <row r="114">
          <cell r="F114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topLeftCell="A107" zoomScale="80" zoomScaleSheetLayoutView="80" workbookViewId="0">
      <selection activeCell="D107" sqref="D107"/>
    </sheetView>
  </sheetViews>
  <sheetFormatPr baseColWidth="10" defaultColWidth="11.44140625" defaultRowHeight="15"/>
  <cols>
    <col min="1" max="1" width="10" style="232" customWidth="1"/>
    <col min="2" max="2" width="61.21875" style="232" bestFit="1" customWidth="1"/>
    <col min="3" max="3" width="9.21875" style="2" customWidth="1"/>
    <col min="4" max="4" width="10.5546875" style="3" customWidth="1"/>
    <col min="5" max="5" width="11.77734375" style="3" customWidth="1"/>
    <col min="6" max="6" width="18.77734375" style="233" customWidth="1"/>
    <col min="7" max="16384" width="11.44140625" style="2"/>
  </cols>
  <sheetData>
    <row r="1" spans="1:6" ht="29.55" customHeight="1"/>
    <row r="2" spans="1:6" ht="27.6" customHeight="1"/>
    <row r="3" spans="1:6" ht="22.95" customHeight="1">
      <c r="A3" s="1"/>
      <c r="B3" s="1"/>
      <c r="F3" s="234"/>
    </row>
    <row r="4" spans="1:6" s="4" customFormat="1" ht="13.8" thickBot="1">
      <c r="B4" s="413"/>
      <c r="C4" s="413"/>
      <c r="D4" s="5"/>
      <c r="E4" s="229"/>
      <c r="F4" s="235"/>
    </row>
    <row r="5" spans="1:6" s="4" customFormat="1" ht="22.95" customHeight="1" thickBot="1">
      <c r="A5" s="414" t="s">
        <v>350</v>
      </c>
      <c r="B5" s="415"/>
      <c r="C5" s="415"/>
      <c r="D5" s="415"/>
      <c r="E5" s="415"/>
      <c r="F5" s="416"/>
    </row>
    <row r="6" spans="1:6" s="4" customFormat="1" ht="13.2" customHeight="1" thickBot="1">
      <c r="B6" s="7"/>
      <c r="C6" s="7"/>
      <c r="D6" s="8"/>
      <c r="E6" s="9"/>
      <c r="F6" s="236"/>
    </row>
    <row r="7" spans="1:6" s="10" customFormat="1" ht="33" customHeight="1" thickBot="1">
      <c r="A7" s="262" t="s">
        <v>353</v>
      </c>
      <c r="B7" s="263" t="s">
        <v>70</v>
      </c>
      <c r="C7" s="264" t="s">
        <v>75</v>
      </c>
      <c r="D7" s="265" t="s">
        <v>76</v>
      </c>
      <c r="E7" s="266" t="s">
        <v>77</v>
      </c>
      <c r="F7" s="267" t="s">
        <v>78</v>
      </c>
    </row>
    <row r="8" spans="1:6" s="10" customFormat="1" ht="14.55" customHeight="1">
      <c r="A8" s="66"/>
      <c r="B8" s="65"/>
      <c r="C8" s="6"/>
      <c r="D8" s="64"/>
      <c r="E8" s="198"/>
      <c r="F8" s="237"/>
    </row>
    <row r="9" spans="1:6" s="4" customFormat="1" ht="15.6">
      <c r="A9" s="67" t="s">
        <v>144</v>
      </c>
      <c r="B9" s="68" t="s">
        <v>143</v>
      </c>
      <c r="C9" s="69"/>
      <c r="D9" s="70"/>
      <c r="E9" s="199"/>
      <c r="F9" s="238"/>
    </row>
    <row r="10" spans="1:6" s="4" customFormat="1" ht="13.95" customHeight="1">
      <c r="A10" s="98"/>
      <c r="B10" s="99"/>
      <c r="C10" s="32"/>
      <c r="D10" s="33"/>
      <c r="E10" s="200"/>
      <c r="F10" s="239"/>
    </row>
    <row r="11" spans="1:6" s="4" customFormat="1" ht="16.2" customHeight="1">
      <c r="A11" s="100" t="s">
        <v>68</v>
      </c>
      <c r="B11" s="101" t="s">
        <v>431</v>
      </c>
      <c r="C11" s="32" t="s">
        <v>173</v>
      </c>
      <c r="D11" s="33">
        <v>1</v>
      </c>
      <c r="E11" s="200"/>
      <c r="F11" s="240">
        <f t="shared" ref="F11:F12" si="0">D11*E11</f>
        <v>0</v>
      </c>
    </row>
    <row r="12" spans="1:6" s="4" customFormat="1" ht="15.6" customHeight="1">
      <c r="A12" s="15" t="s">
        <v>5</v>
      </c>
      <c r="B12" s="16" t="s">
        <v>172</v>
      </c>
      <c r="C12" s="12" t="s">
        <v>173</v>
      </c>
      <c r="D12" s="17">
        <v>1</v>
      </c>
      <c r="E12" s="201"/>
      <c r="F12" s="240">
        <f t="shared" si="0"/>
        <v>0</v>
      </c>
    </row>
    <row r="13" spans="1:6" s="4" customFormat="1" ht="17.55" customHeight="1" thickBot="1">
      <c r="A13" s="15" t="s">
        <v>69</v>
      </c>
      <c r="B13" s="16" t="s">
        <v>171</v>
      </c>
      <c r="C13" s="12" t="s">
        <v>173</v>
      </c>
      <c r="D13" s="17">
        <v>1</v>
      </c>
      <c r="E13" s="200"/>
      <c r="F13" s="240">
        <f>D13*E13</f>
        <v>0</v>
      </c>
    </row>
    <row r="14" spans="1:6" s="4" customFormat="1" ht="16.2" thickBot="1">
      <c r="A14" s="52"/>
      <c r="B14" s="53" t="s">
        <v>152</v>
      </c>
      <c r="C14" s="54"/>
      <c r="D14" s="55"/>
      <c r="E14" s="202"/>
      <c r="F14" s="241">
        <f>SUM(F11:F13)</f>
        <v>0</v>
      </c>
    </row>
    <row r="15" spans="1:6" s="4" customFormat="1" ht="15.6">
      <c r="B15" s="71"/>
      <c r="C15" s="22"/>
      <c r="D15" s="23"/>
      <c r="E15" s="203"/>
      <c r="F15" s="240"/>
    </row>
    <row r="16" spans="1:6" s="4" customFormat="1" ht="15.6">
      <c r="A16" s="67" t="s">
        <v>14</v>
      </c>
      <c r="B16" s="72" t="s">
        <v>145</v>
      </c>
      <c r="C16" s="73"/>
      <c r="D16" s="74"/>
      <c r="E16" s="204"/>
      <c r="F16" s="238"/>
    </row>
    <row r="17" spans="1:6" s="4" customFormat="1" ht="15.6">
      <c r="A17" s="14"/>
      <c r="B17" s="21"/>
      <c r="C17" s="22"/>
      <c r="D17" s="23"/>
      <c r="E17" s="205"/>
      <c r="F17" s="240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0"/>
    </row>
    <row r="19" spans="1:6" s="4" customFormat="1">
      <c r="A19" s="15" t="s">
        <v>290</v>
      </c>
      <c r="B19" s="16" t="s">
        <v>345</v>
      </c>
      <c r="C19" s="12" t="s">
        <v>7</v>
      </c>
      <c r="D19" s="50">
        <v>134.51</v>
      </c>
      <c r="E19" s="201"/>
      <c r="F19" s="240"/>
    </row>
    <row r="20" spans="1:6" s="4" customFormat="1">
      <c r="A20" s="15" t="s">
        <v>291</v>
      </c>
      <c r="B20" s="16" t="s">
        <v>335</v>
      </c>
      <c r="C20" s="12" t="s">
        <v>10</v>
      </c>
      <c r="D20" s="50">
        <f>D19*0.85*0.6</f>
        <v>68.600099999999983</v>
      </c>
      <c r="E20" s="201"/>
      <c r="F20" s="240">
        <f>D20*E20</f>
        <v>0</v>
      </c>
    </row>
    <row r="21" spans="1:6" s="4" customFormat="1" ht="17.55" customHeight="1">
      <c r="A21" s="15" t="s">
        <v>293</v>
      </c>
      <c r="B21" s="16" t="s">
        <v>83</v>
      </c>
      <c r="C21" s="12" t="s">
        <v>10</v>
      </c>
      <c r="D21" s="50">
        <f>D19*0.65*0.45</f>
        <v>39.344175</v>
      </c>
      <c r="E21" s="201"/>
      <c r="F21" s="240">
        <f t="shared" ref="F21:F22" si="1">D21*E21</f>
        <v>0</v>
      </c>
    </row>
    <row r="22" spans="1:6" s="4" customFormat="1" ht="17.55" customHeight="1" thickBot="1">
      <c r="A22" s="15" t="s">
        <v>295</v>
      </c>
      <c r="B22" s="16" t="s">
        <v>84</v>
      </c>
      <c r="C22" s="12" t="s">
        <v>10</v>
      </c>
      <c r="D22" s="50">
        <f>30.27*9.88*0.5</f>
        <v>149.53380000000001</v>
      </c>
      <c r="E22" s="201"/>
      <c r="F22" s="240">
        <f t="shared" si="1"/>
        <v>0</v>
      </c>
    </row>
    <row r="23" spans="1:6" s="4" customFormat="1" ht="17.55" customHeight="1" thickBot="1">
      <c r="A23" s="18"/>
      <c r="B23" s="268" t="s">
        <v>153</v>
      </c>
      <c r="C23" s="19"/>
      <c r="D23" s="20"/>
      <c r="E23" s="208"/>
      <c r="F23" s="269">
        <f>SUM(F20:F22)</f>
        <v>0</v>
      </c>
    </row>
    <row r="24" spans="1:6" s="4" customFormat="1" ht="17.55" customHeight="1">
      <c r="A24" s="24" t="s">
        <v>312</v>
      </c>
      <c r="B24" s="84" t="s">
        <v>170</v>
      </c>
      <c r="C24" s="25"/>
      <c r="D24" s="13"/>
      <c r="E24" s="207"/>
      <c r="F24" s="240"/>
    </row>
    <row r="25" spans="1:6" s="4" customFormat="1" ht="17.55" customHeight="1">
      <c r="A25" s="28" t="s">
        <v>17</v>
      </c>
      <c r="B25" s="27" t="s">
        <v>169</v>
      </c>
      <c r="C25" s="12"/>
      <c r="D25" s="17"/>
      <c r="E25" s="201"/>
      <c r="F25" s="240"/>
    </row>
    <row r="26" spans="1:6" s="4" customFormat="1" ht="17.55" customHeight="1">
      <c r="A26" s="28" t="s">
        <v>85</v>
      </c>
      <c r="B26" s="29" t="s">
        <v>86</v>
      </c>
      <c r="C26" s="12" t="s">
        <v>10</v>
      </c>
      <c r="D26" s="17">
        <f>D19*0.6*0.05</f>
        <v>4.0352999999999994</v>
      </c>
      <c r="E26" s="201"/>
      <c r="F26" s="240">
        <f>D26*E26</f>
        <v>0</v>
      </c>
    </row>
    <row r="27" spans="1:6" s="4" customFormat="1" ht="17.55" customHeight="1">
      <c r="A27" s="28" t="s">
        <v>87</v>
      </c>
      <c r="B27" s="29" t="s">
        <v>175</v>
      </c>
      <c r="C27" s="12" t="s">
        <v>10</v>
      </c>
      <c r="D27" s="17">
        <f>D19*0.6*0.15</f>
        <v>12.105899999999998</v>
      </c>
      <c r="E27" s="201"/>
      <c r="F27" s="240">
        <f t="shared" ref="F27:F57" si="2">D27*E27</f>
        <v>0</v>
      </c>
    </row>
    <row r="28" spans="1:6" s="4" customFormat="1" ht="17.55" customHeight="1">
      <c r="A28" s="28" t="s">
        <v>88</v>
      </c>
      <c r="B28" s="29" t="s">
        <v>357</v>
      </c>
      <c r="C28" s="12" t="s">
        <v>10</v>
      </c>
      <c r="D28" s="17">
        <f>29*0.15*0.15*0.66+9*0.15*0.2*0.66</f>
        <v>0.60885</v>
      </c>
      <c r="E28" s="201"/>
      <c r="F28" s="240">
        <f t="shared" si="2"/>
        <v>0</v>
      </c>
    </row>
    <row r="29" spans="1:6" s="4" customFormat="1" ht="17.55" customHeight="1">
      <c r="A29" s="28" t="s">
        <v>89</v>
      </c>
      <c r="B29" s="29" t="s">
        <v>358</v>
      </c>
      <c r="C29" s="12" t="s">
        <v>10</v>
      </c>
      <c r="D29" s="17">
        <f>134.51*0.2*0.15</f>
        <v>4.0353000000000003</v>
      </c>
      <c r="E29" s="201"/>
      <c r="F29" s="240">
        <f t="shared" si="2"/>
        <v>0</v>
      </c>
    </row>
    <row r="30" spans="1:6" s="4" customFormat="1">
      <c r="A30" s="28" t="s">
        <v>90</v>
      </c>
      <c r="B30" s="29" t="s">
        <v>177</v>
      </c>
      <c r="C30" s="12" t="s">
        <v>4</v>
      </c>
      <c r="D30" s="17">
        <f>134.51*1.05</f>
        <v>141.2355</v>
      </c>
      <c r="E30" s="201"/>
      <c r="F30" s="240">
        <f t="shared" si="2"/>
        <v>0</v>
      </c>
    </row>
    <row r="31" spans="1:6" s="4" customFormat="1">
      <c r="A31" s="28" t="s">
        <v>91</v>
      </c>
      <c r="B31" s="29" t="s">
        <v>336</v>
      </c>
      <c r="C31" s="32" t="s">
        <v>10</v>
      </c>
      <c r="D31" s="33">
        <f>30.27*9.88*0.1</f>
        <v>29.906760000000006</v>
      </c>
      <c r="E31" s="200"/>
      <c r="F31" s="240">
        <f t="shared" si="2"/>
        <v>0</v>
      </c>
    </row>
    <row r="32" spans="1:6" s="4" customFormat="1">
      <c r="A32" s="28"/>
      <c r="B32" s="29" t="s">
        <v>92</v>
      </c>
      <c r="C32" s="12" t="s">
        <v>4</v>
      </c>
      <c r="D32" s="17">
        <f>30.27*9.88</f>
        <v>299.06760000000003</v>
      </c>
      <c r="E32" s="201"/>
      <c r="F32" s="240">
        <f t="shared" si="2"/>
        <v>0</v>
      </c>
    </row>
    <row r="33" spans="1:6" s="4" customFormat="1">
      <c r="A33" s="28" t="s">
        <v>93</v>
      </c>
      <c r="B33" s="29" t="s">
        <v>94</v>
      </c>
      <c r="C33" s="12"/>
      <c r="D33" s="17"/>
      <c r="E33" s="201"/>
      <c r="F33" s="240"/>
    </row>
    <row r="34" spans="1:6" s="4" customFormat="1" ht="45">
      <c r="A34" s="28"/>
      <c r="B34" s="34" t="s">
        <v>351</v>
      </c>
      <c r="C34" s="12" t="s">
        <v>4</v>
      </c>
      <c r="D34" s="17">
        <f>30.27*0.44*4*2</f>
        <v>106.5504</v>
      </c>
      <c r="E34" s="201"/>
      <c r="F34" s="240">
        <f t="shared" si="2"/>
        <v>0</v>
      </c>
    </row>
    <row r="35" spans="1:6" s="4" customFormat="1">
      <c r="A35" s="28"/>
      <c r="B35" s="31" t="s">
        <v>95</v>
      </c>
      <c r="C35" s="12" t="s">
        <v>10</v>
      </c>
      <c r="D35" s="17">
        <f>30.27*0.4*0.4*2</f>
        <v>9.6864000000000008</v>
      </c>
      <c r="E35" s="201"/>
      <c r="F35" s="240">
        <f t="shared" si="2"/>
        <v>0</v>
      </c>
    </row>
    <row r="36" spans="1:6" s="4" customFormat="1">
      <c r="A36" s="28"/>
      <c r="B36" s="31" t="s">
        <v>96</v>
      </c>
      <c r="C36" s="12" t="s">
        <v>10</v>
      </c>
      <c r="D36" s="17">
        <f>30.27*0.4*0.1*2</f>
        <v>2.4216000000000002</v>
      </c>
      <c r="E36" s="201"/>
      <c r="F36" s="240">
        <f t="shared" si="2"/>
        <v>0</v>
      </c>
    </row>
    <row r="37" spans="1:6" s="4" customFormat="1" ht="15.6">
      <c r="A37" s="28" t="s">
        <v>24</v>
      </c>
      <c r="B37" s="83" t="s">
        <v>146</v>
      </c>
      <c r="C37" s="22"/>
      <c r="D37" s="17"/>
      <c r="E37" s="205"/>
      <c r="F37" s="240"/>
    </row>
    <row r="38" spans="1:6" s="4" customFormat="1">
      <c r="A38" s="28" t="s">
        <v>26</v>
      </c>
      <c r="B38" s="29" t="s">
        <v>337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201"/>
      <c r="F38" s="240">
        <f t="shared" si="2"/>
        <v>0</v>
      </c>
    </row>
    <row r="39" spans="1:6" s="4" customFormat="1">
      <c r="A39" s="28" t="s">
        <v>367</v>
      </c>
      <c r="B39" s="29" t="s">
        <v>97</v>
      </c>
      <c r="C39" s="12" t="s">
        <v>10</v>
      </c>
      <c r="D39" s="17">
        <f>29*0.15*0.15*3.5+9*0.2*0.15*3.5</f>
        <v>3.2287499999999998</v>
      </c>
      <c r="E39" s="201"/>
      <c r="F39" s="240">
        <f t="shared" si="2"/>
        <v>0</v>
      </c>
    </row>
    <row r="40" spans="1:6" s="4" customFormat="1">
      <c r="A40" s="28" t="s">
        <v>147</v>
      </c>
      <c r="B40" s="29" t="s">
        <v>98</v>
      </c>
      <c r="C40" s="12" t="s">
        <v>10</v>
      </c>
      <c r="D40" s="17">
        <f>D29+(1*0.15*0.2+1.46*0.2*0.15)*3</f>
        <v>4.2567000000000004</v>
      </c>
      <c r="E40" s="201"/>
      <c r="F40" s="240">
        <f t="shared" si="2"/>
        <v>0</v>
      </c>
    </row>
    <row r="41" spans="1:6" s="4" customFormat="1">
      <c r="A41" s="28" t="s">
        <v>368</v>
      </c>
      <c r="B41" s="29" t="s">
        <v>100</v>
      </c>
      <c r="C41" s="12" t="s">
        <v>10</v>
      </c>
      <c r="D41" s="17">
        <f>5*10*0.2*0.1</f>
        <v>1</v>
      </c>
      <c r="E41" s="201"/>
      <c r="F41" s="240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0"/>
    </row>
    <row r="43" spans="1:6" s="4" customFormat="1">
      <c r="A43" s="28"/>
      <c r="B43" s="29" t="s">
        <v>174</v>
      </c>
      <c r="C43" s="12" t="s">
        <v>4</v>
      </c>
      <c r="D43" s="17">
        <f>(30.35*2+9.88+7.23)*3-D46-(4*0.9*2.2+31.14*2.2)+2*(12*1.6/2)</f>
        <v>120.042</v>
      </c>
      <c r="E43" s="201"/>
      <c r="F43" s="240">
        <f t="shared" si="2"/>
        <v>0</v>
      </c>
    </row>
    <row r="44" spans="1:6" s="4" customFormat="1">
      <c r="A44" s="28"/>
      <c r="B44" s="29" t="s">
        <v>176</v>
      </c>
      <c r="C44" s="12" t="s">
        <v>4</v>
      </c>
      <c r="D44" s="17">
        <f>(30.35*2+9.38*2+7.23*7)*3-D43-5*1*2.2+3*1.46*2.2+(2*(12*1.6/2))</f>
        <v>288.00400000000002</v>
      </c>
      <c r="E44" s="201"/>
      <c r="F44" s="240">
        <f t="shared" si="2"/>
        <v>0</v>
      </c>
    </row>
    <row r="45" spans="1:6" s="4" customFormat="1">
      <c r="A45" s="28" t="s">
        <v>28</v>
      </c>
      <c r="B45" s="29" t="s">
        <v>101</v>
      </c>
      <c r="C45" s="12"/>
      <c r="D45" s="17"/>
      <c r="E45" s="201"/>
      <c r="F45" s="240"/>
    </row>
    <row r="46" spans="1:6" s="4" customFormat="1" ht="30.6">
      <c r="A46" s="28" t="s">
        <v>29</v>
      </c>
      <c r="B46" s="51" t="s">
        <v>140</v>
      </c>
      <c r="C46" s="12" t="s">
        <v>102</v>
      </c>
      <c r="D46" s="17">
        <f>3*(3*1.8*1.8+2*2.5*1.8)</f>
        <v>56.16</v>
      </c>
      <c r="E46" s="201"/>
      <c r="F46" s="240">
        <f t="shared" si="2"/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240"/>
    </row>
    <row r="48" spans="1:6" s="4" customFormat="1" ht="30">
      <c r="A48" s="289" t="s">
        <v>30</v>
      </c>
      <c r="B48" s="51" t="s">
        <v>382</v>
      </c>
      <c r="C48" s="12" t="s">
        <v>9</v>
      </c>
      <c r="D48" s="17">
        <v>4</v>
      </c>
      <c r="E48" s="201"/>
      <c r="F48" s="240">
        <f t="shared" ref="F48" si="3">D48*E48</f>
        <v>0</v>
      </c>
    </row>
    <row r="49" spans="1:6" s="4" customFormat="1" ht="34.5" customHeight="1">
      <c r="A49" s="289" t="s">
        <v>31</v>
      </c>
      <c r="B49" s="51" t="s">
        <v>383</v>
      </c>
      <c r="C49" s="12" t="s">
        <v>9</v>
      </c>
      <c r="D49" s="17">
        <v>3</v>
      </c>
      <c r="E49" s="201"/>
      <c r="F49" s="240">
        <f t="shared" si="2"/>
        <v>0</v>
      </c>
    </row>
    <row r="50" spans="1:6" s="4" customFormat="1" ht="20.25" customHeight="1">
      <c r="A50" s="28" t="s">
        <v>106</v>
      </c>
      <c r="B50" s="29" t="s">
        <v>149</v>
      </c>
      <c r="C50" s="12" t="s">
        <v>9</v>
      </c>
      <c r="D50" s="17">
        <v>4</v>
      </c>
      <c r="E50" s="201"/>
      <c r="F50" s="240">
        <f t="shared" si="2"/>
        <v>0</v>
      </c>
    </row>
    <row r="51" spans="1:6" s="4" customFormat="1" ht="15.6">
      <c r="A51" s="28" t="s">
        <v>106</v>
      </c>
      <c r="B51" s="27" t="s">
        <v>36</v>
      </c>
      <c r="C51" s="12"/>
      <c r="D51" s="17"/>
      <c r="E51" s="201"/>
      <c r="F51" s="240"/>
    </row>
    <row r="52" spans="1:6" s="4" customFormat="1">
      <c r="A52" s="28" t="s">
        <v>107</v>
      </c>
      <c r="B52" s="29" t="s">
        <v>103</v>
      </c>
      <c r="C52" s="12" t="s">
        <v>10</v>
      </c>
      <c r="D52" s="17">
        <f>1*1.5*0.3</f>
        <v>0.44999999999999996</v>
      </c>
      <c r="E52" s="201"/>
      <c r="F52" s="240">
        <f t="shared" si="2"/>
        <v>0</v>
      </c>
    </row>
    <row r="53" spans="1:6" s="4" customFormat="1">
      <c r="A53" s="28" t="s">
        <v>108</v>
      </c>
      <c r="B53" s="16" t="s">
        <v>105</v>
      </c>
      <c r="C53" s="12" t="s">
        <v>10</v>
      </c>
      <c r="D53" s="17">
        <f>1*1.5*0.2</f>
        <v>0.30000000000000004</v>
      </c>
      <c r="E53" s="201"/>
      <c r="F53" s="240">
        <f t="shared" si="2"/>
        <v>0</v>
      </c>
    </row>
    <row r="54" spans="1:6" s="4" customFormat="1">
      <c r="A54" s="28" t="s">
        <v>109</v>
      </c>
      <c r="B54" s="29" t="s">
        <v>86</v>
      </c>
      <c r="C54" s="12" t="s">
        <v>10</v>
      </c>
      <c r="D54" s="17">
        <f>1*1.5*0.05</f>
        <v>7.5000000000000011E-2</v>
      </c>
      <c r="E54" s="201"/>
      <c r="F54" s="240">
        <f t="shared" si="2"/>
        <v>0</v>
      </c>
    </row>
    <row r="55" spans="1:6" s="4" customFormat="1">
      <c r="A55" s="28" t="s">
        <v>148</v>
      </c>
      <c r="B55" s="29" t="s">
        <v>104</v>
      </c>
      <c r="C55" s="12" t="s">
        <v>4</v>
      </c>
      <c r="D55" s="17">
        <f>2.5*2*0.44</f>
        <v>2.2000000000000002</v>
      </c>
      <c r="E55" s="201"/>
      <c r="F55" s="240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0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0">
        <f t="shared" si="2"/>
        <v>0</v>
      </c>
    </row>
    <row r="58" spans="1:6" s="4" customFormat="1" ht="15.6">
      <c r="A58" s="28" t="s">
        <v>110</v>
      </c>
      <c r="B58" s="27" t="s">
        <v>112</v>
      </c>
      <c r="C58" s="12"/>
      <c r="D58" s="17"/>
      <c r="E58" s="201"/>
      <c r="F58" s="240"/>
    </row>
    <row r="59" spans="1:6" s="4" customFormat="1">
      <c r="A59" s="28" t="s">
        <v>369</v>
      </c>
      <c r="B59" s="85" t="s">
        <v>282</v>
      </c>
      <c r="C59" s="12" t="s">
        <v>9</v>
      </c>
      <c r="D59" s="17">
        <v>4</v>
      </c>
      <c r="E59" s="201"/>
      <c r="F59" s="240">
        <f t="shared" ref="F59:F60" si="4">D59*E59</f>
        <v>0</v>
      </c>
    </row>
    <row r="60" spans="1:6" s="4" customFormat="1" ht="15.6" thickBot="1">
      <c r="A60" s="28" t="s">
        <v>111</v>
      </c>
      <c r="B60" s="85" t="s">
        <v>384</v>
      </c>
      <c r="C60" s="12" t="s">
        <v>9</v>
      </c>
      <c r="D60" s="17">
        <v>3</v>
      </c>
      <c r="E60" s="201"/>
      <c r="F60" s="240">
        <f t="shared" si="4"/>
        <v>0</v>
      </c>
    </row>
    <row r="61" spans="1:6" s="4" customFormat="1" ht="17.55" customHeight="1" thickBot="1">
      <c r="A61" s="18"/>
      <c r="B61" s="91" t="s">
        <v>113</v>
      </c>
      <c r="C61" s="19"/>
      <c r="D61" s="20"/>
      <c r="E61" s="208"/>
      <c r="F61" s="242">
        <f>SUM(F26:F60)</f>
        <v>0</v>
      </c>
    </row>
    <row r="62" spans="1:6" s="4" customFormat="1" ht="16.2" thickBot="1">
      <c r="A62" s="52"/>
      <c r="B62" s="53" t="s">
        <v>150</v>
      </c>
      <c r="C62" s="54"/>
      <c r="D62" s="55"/>
      <c r="E62" s="206"/>
      <c r="F62" s="241">
        <f>F23+F61</f>
        <v>0</v>
      </c>
    </row>
    <row r="63" spans="1:6" s="40" customFormat="1" ht="15.6">
      <c r="A63" s="37"/>
      <c r="B63" s="38"/>
      <c r="C63" s="39"/>
      <c r="D63" s="33"/>
      <c r="E63" s="200"/>
      <c r="F63" s="239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243"/>
    </row>
    <row r="65" spans="1:6" s="40" customFormat="1" ht="15.6">
      <c r="A65" s="86"/>
      <c r="B65" s="244"/>
      <c r="C65" s="32"/>
      <c r="D65" s="33"/>
      <c r="E65" s="200"/>
      <c r="F65" s="239"/>
    </row>
    <row r="66" spans="1:6" s="4" customFormat="1">
      <c r="A66" s="28" t="s">
        <v>114</v>
      </c>
      <c r="B66" s="29" t="s">
        <v>115</v>
      </c>
      <c r="C66" s="12"/>
      <c r="D66" s="17"/>
      <c r="E66" s="201"/>
      <c r="F66" s="240"/>
    </row>
    <row r="67" spans="1:6" s="4" customFormat="1">
      <c r="A67" s="15" t="s">
        <v>116</v>
      </c>
      <c r="B67" s="16" t="s">
        <v>118</v>
      </c>
      <c r="C67" s="12" t="s">
        <v>10</v>
      </c>
      <c r="D67" s="17">
        <f>(31.27*10.88)/100</f>
        <v>3.4021759999999999</v>
      </c>
      <c r="E67" s="210"/>
      <c r="F67" s="240">
        <f t="shared" ref="F67:F68" si="5">D67*E67</f>
        <v>0</v>
      </c>
    </row>
    <row r="68" spans="1:6" s="4" customFormat="1" ht="15.6" thickBot="1">
      <c r="A68" s="15" t="s">
        <v>117</v>
      </c>
      <c r="B68" s="16" t="s">
        <v>119</v>
      </c>
      <c r="C68" s="12" t="s">
        <v>9</v>
      </c>
      <c r="D68" s="17">
        <v>20</v>
      </c>
      <c r="E68" s="201"/>
      <c r="F68" s="240">
        <f t="shared" si="5"/>
        <v>0</v>
      </c>
    </row>
    <row r="69" spans="1:6" s="4" customFormat="1" ht="16.2" thickBot="1">
      <c r="A69" s="56"/>
      <c r="B69" s="53" t="s">
        <v>151</v>
      </c>
      <c r="C69" s="57"/>
      <c r="D69" s="58"/>
      <c r="E69" s="211"/>
      <c r="F69" s="241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240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243"/>
    </row>
    <row r="72" spans="1:6" s="4" customFormat="1" ht="15.6">
      <c r="A72" s="26"/>
      <c r="B72" s="42"/>
      <c r="C72" s="12"/>
      <c r="D72" s="17"/>
      <c r="E72" s="201"/>
      <c r="F72" s="240"/>
    </row>
    <row r="73" spans="1:6" s="4" customFormat="1" ht="15.6">
      <c r="A73" s="28" t="s">
        <v>120</v>
      </c>
      <c r="B73" s="42" t="s">
        <v>158</v>
      </c>
      <c r="C73" s="12"/>
      <c r="D73" s="17"/>
      <c r="E73" s="201"/>
      <c r="F73" s="240"/>
    </row>
    <row r="74" spans="1:6" s="4" customFormat="1">
      <c r="A74" s="28" t="s">
        <v>121</v>
      </c>
      <c r="B74" s="29" t="s">
        <v>338</v>
      </c>
      <c r="C74" s="12" t="s">
        <v>4</v>
      </c>
      <c r="D74" s="17">
        <f>31.87*12</f>
        <v>382.44</v>
      </c>
      <c r="E74" s="201"/>
      <c r="F74" s="240">
        <f>D74*E74</f>
        <v>0</v>
      </c>
    </row>
    <row r="75" spans="1:6" s="4" customFormat="1" ht="15.6">
      <c r="A75" s="28" t="s">
        <v>122</v>
      </c>
      <c r="B75" s="42" t="s">
        <v>123</v>
      </c>
      <c r="C75" s="12"/>
      <c r="D75" s="17"/>
      <c r="E75" s="201"/>
      <c r="F75" s="240"/>
    </row>
    <row r="76" spans="1:6" s="4" customFormat="1" ht="15.6">
      <c r="A76" s="28" t="s">
        <v>124</v>
      </c>
      <c r="B76" s="29" t="s">
        <v>339</v>
      </c>
      <c r="C76" s="12" t="s">
        <v>7</v>
      </c>
      <c r="D76" s="17">
        <v>31.87</v>
      </c>
      <c r="E76" s="201"/>
      <c r="F76" s="240">
        <f t="shared" ref="F76:F78" si="6">D76*E76</f>
        <v>0</v>
      </c>
    </row>
    <row r="77" spans="1:6" s="4" customFormat="1" ht="15.6">
      <c r="A77" s="28" t="s">
        <v>125</v>
      </c>
      <c r="B77" s="42" t="s">
        <v>127</v>
      </c>
      <c r="C77" s="22"/>
      <c r="D77" s="17"/>
      <c r="E77" s="205"/>
      <c r="F77" s="240"/>
    </row>
    <row r="78" spans="1:6" s="4" customFormat="1" ht="15.6" thickBot="1">
      <c r="A78" s="35" t="s">
        <v>126</v>
      </c>
      <c r="B78" s="29" t="s">
        <v>340</v>
      </c>
      <c r="C78" s="36" t="s">
        <v>4</v>
      </c>
      <c r="D78" s="17">
        <f>(31.87*2+24)*0.4</f>
        <v>35.096000000000004</v>
      </c>
      <c r="E78" s="212"/>
      <c r="F78" s="240">
        <f t="shared" si="6"/>
        <v>0</v>
      </c>
    </row>
    <row r="79" spans="1:6" s="4" customFormat="1" ht="16.2" thickBot="1">
      <c r="A79" s="56"/>
      <c r="B79" s="53" t="s">
        <v>154</v>
      </c>
      <c r="C79" s="54"/>
      <c r="D79" s="55"/>
      <c r="E79" s="206"/>
      <c r="F79" s="241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240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243"/>
    </row>
    <row r="82" spans="1:6" s="4" customFormat="1" ht="15.6">
      <c r="A82" s="14"/>
      <c r="B82" s="43"/>
      <c r="C82" s="12"/>
      <c r="D82" s="17"/>
      <c r="E82" s="201"/>
      <c r="F82" s="240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240"/>
    </row>
    <row r="84" spans="1:6" s="4" customFormat="1" ht="15.6" thickBot="1">
      <c r="A84" s="29" t="s">
        <v>50</v>
      </c>
      <c r="B84" s="44" t="s">
        <v>159</v>
      </c>
      <c r="C84" s="12" t="s">
        <v>128</v>
      </c>
      <c r="D84" s="17">
        <v>1</v>
      </c>
      <c r="E84" s="201"/>
      <c r="F84" s="240">
        <f>D84*E84</f>
        <v>0</v>
      </c>
    </row>
    <row r="85" spans="1:6" s="4" customFormat="1" ht="16.2" thickBot="1">
      <c r="A85" s="81"/>
      <c r="B85" s="82" t="s">
        <v>155</v>
      </c>
      <c r="C85" s="79"/>
      <c r="D85" s="78"/>
      <c r="E85" s="213"/>
      <c r="F85" s="245">
        <f>F84</f>
        <v>0</v>
      </c>
    </row>
    <row r="86" spans="1:6" s="4" customFormat="1" ht="15.6">
      <c r="A86" s="41"/>
      <c r="B86" s="42"/>
      <c r="C86" s="45"/>
      <c r="D86" s="46"/>
      <c r="E86" s="207"/>
      <c r="F86" s="240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243"/>
    </row>
    <row r="88" spans="1:6" s="4" customFormat="1" ht="15.6">
      <c r="A88" s="14"/>
      <c r="B88" s="47"/>
      <c r="C88" s="22"/>
      <c r="D88" s="23"/>
      <c r="E88" s="205"/>
      <c r="F88" s="240"/>
    </row>
    <row r="89" spans="1:6" s="4" customFormat="1" ht="15.6">
      <c r="A89" s="15" t="s">
        <v>320</v>
      </c>
      <c r="B89" s="47" t="s">
        <v>131</v>
      </c>
      <c r="C89" s="12"/>
      <c r="D89" s="17"/>
      <c r="E89" s="201"/>
      <c r="F89" s="240"/>
    </row>
    <row r="90" spans="1:6" s="4" customFormat="1">
      <c r="A90" s="15" t="s">
        <v>321</v>
      </c>
      <c r="B90" s="16" t="s">
        <v>341</v>
      </c>
      <c r="C90" s="12" t="s">
        <v>9</v>
      </c>
      <c r="D90" s="17">
        <v>3</v>
      </c>
      <c r="E90" s="201"/>
      <c r="F90" s="240">
        <f>D90*E90</f>
        <v>0</v>
      </c>
    </row>
    <row r="91" spans="1:6" s="4" customFormat="1">
      <c r="A91" s="15" t="s">
        <v>370</v>
      </c>
      <c r="B91" s="16" t="s">
        <v>354</v>
      </c>
      <c r="C91" s="12" t="s">
        <v>9</v>
      </c>
      <c r="D91" s="17">
        <v>5</v>
      </c>
      <c r="E91" s="201"/>
      <c r="F91" s="240">
        <f>D91*E91</f>
        <v>0</v>
      </c>
    </row>
    <row r="92" spans="1:6" s="4" customFormat="1" ht="15.6">
      <c r="A92" s="15" t="s">
        <v>371</v>
      </c>
      <c r="B92" s="47" t="s">
        <v>132</v>
      </c>
      <c r="C92" s="12"/>
      <c r="D92" s="17"/>
      <c r="E92" s="201"/>
      <c r="F92" s="240"/>
    </row>
    <row r="93" spans="1:6" s="4" customFormat="1">
      <c r="A93" s="15" t="s">
        <v>372</v>
      </c>
      <c r="B93" s="16" t="s">
        <v>355</v>
      </c>
      <c r="C93" s="12" t="s">
        <v>9</v>
      </c>
      <c r="D93" s="17">
        <v>4</v>
      </c>
      <c r="E93" s="201"/>
      <c r="F93" s="240">
        <f t="shared" ref="F93" si="7">D93*E93</f>
        <v>0</v>
      </c>
    </row>
    <row r="94" spans="1:6" s="4" customFormat="1" ht="15.6">
      <c r="A94" s="15" t="s">
        <v>373</v>
      </c>
      <c r="B94" s="47" t="s">
        <v>389</v>
      </c>
      <c r="C94" s="12"/>
      <c r="D94" s="17"/>
      <c r="E94" s="201"/>
      <c r="F94" s="240"/>
    </row>
    <row r="95" spans="1:6" s="4" customFormat="1" ht="15.6" thickBot="1">
      <c r="A95" s="15" t="s">
        <v>374</v>
      </c>
      <c r="B95" s="16" t="s">
        <v>388</v>
      </c>
      <c r="C95" s="12" t="s">
        <v>9</v>
      </c>
      <c r="D95" s="17">
        <v>2</v>
      </c>
      <c r="E95" s="201"/>
      <c r="F95" s="240">
        <f t="shared" ref="F95" si="8">D95*E95</f>
        <v>0</v>
      </c>
    </row>
    <row r="96" spans="1:6" s="4" customFormat="1" ht="16.2" thickBot="1">
      <c r="A96" s="81"/>
      <c r="B96" s="76" t="s">
        <v>156</v>
      </c>
      <c r="C96" s="77"/>
      <c r="D96" s="80"/>
      <c r="E96" s="215"/>
      <c r="F96" s="245">
        <f>SUM(F90:F95)</f>
        <v>0</v>
      </c>
    </row>
    <row r="97" spans="1:6" s="4" customFormat="1" ht="15.6">
      <c r="A97" s="41"/>
      <c r="B97" s="42"/>
      <c r="C97" s="45"/>
      <c r="D97" s="46"/>
      <c r="E97" s="207"/>
      <c r="F97" s="240"/>
    </row>
    <row r="98" spans="1:6" s="4" customFormat="1" ht="15.6">
      <c r="A98" s="93" t="s">
        <v>72</v>
      </c>
      <c r="B98" s="94" t="s">
        <v>386</v>
      </c>
      <c r="C98" s="95"/>
      <c r="D98" s="96"/>
      <c r="E98" s="214"/>
      <c r="F98" s="243"/>
    </row>
    <row r="99" spans="1:6" s="4" customFormat="1" ht="15.6">
      <c r="A99" s="14"/>
      <c r="B99" s="47"/>
      <c r="C99" s="22"/>
      <c r="D99" s="23"/>
      <c r="E99" s="205"/>
      <c r="F99" s="240"/>
    </row>
    <row r="100" spans="1:6" s="4" customFormat="1" ht="15.6">
      <c r="A100" s="15" t="s">
        <v>129</v>
      </c>
      <c r="B100" s="47" t="s">
        <v>390</v>
      </c>
      <c r="C100" s="12"/>
      <c r="D100" s="17"/>
      <c r="E100" s="201"/>
      <c r="F100" s="240"/>
    </row>
    <row r="101" spans="1:6" s="298" customFormat="1">
      <c r="A101" s="292" t="s">
        <v>160</v>
      </c>
      <c r="B101" s="48" t="s">
        <v>391</v>
      </c>
      <c r="C101" s="294" t="s">
        <v>9</v>
      </c>
      <c r="D101" s="295">
        <v>2</v>
      </c>
      <c r="E101" s="296"/>
      <c r="F101" s="297">
        <f>D101*E101</f>
        <v>0</v>
      </c>
    </row>
    <row r="102" spans="1:6" s="298" customFormat="1">
      <c r="A102" s="292" t="s">
        <v>160</v>
      </c>
      <c r="B102" s="299" t="s">
        <v>392</v>
      </c>
      <c r="C102" s="294" t="s">
        <v>7</v>
      </c>
      <c r="D102" s="295">
        <f>1.1*8</f>
        <v>8.8000000000000007</v>
      </c>
      <c r="E102" s="296"/>
      <c r="F102" s="297">
        <f>D102*E102</f>
        <v>0</v>
      </c>
    </row>
    <row r="103" spans="1:6" s="298" customFormat="1" ht="15.6">
      <c r="A103" s="292" t="s">
        <v>130</v>
      </c>
      <c r="B103" s="293" t="s">
        <v>393</v>
      </c>
      <c r="C103" s="294"/>
      <c r="D103" s="295"/>
      <c r="E103" s="296"/>
      <c r="F103" s="297"/>
    </row>
    <row r="104" spans="1:6" s="298" customFormat="1" ht="15.6" thickBot="1">
      <c r="A104" s="292" t="s">
        <v>161</v>
      </c>
      <c r="B104" s="299" t="s">
        <v>394</v>
      </c>
      <c r="C104" s="294" t="s">
        <v>4</v>
      </c>
      <c r="D104" s="295">
        <f>1.5*1.1*2</f>
        <v>3.3000000000000003</v>
      </c>
      <c r="E104" s="296"/>
      <c r="F104" s="297">
        <f>D104*E104</f>
        <v>0</v>
      </c>
    </row>
    <row r="105" spans="1:6" s="4" customFormat="1" ht="16.2" thickBot="1">
      <c r="A105" s="81"/>
      <c r="B105" s="76" t="s">
        <v>387</v>
      </c>
      <c r="C105" s="77"/>
      <c r="D105" s="80"/>
      <c r="E105" s="215"/>
      <c r="F105" s="245">
        <f>SUM(F101:F104)</f>
        <v>0</v>
      </c>
    </row>
    <row r="106" spans="1:6" s="4" customFormat="1" ht="15.6">
      <c r="A106" s="14"/>
      <c r="B106" s="11"/>
      <c r="C106" s="12"/>
      <c r="D106" s="17"/>
      <c r="E106" s="201"/>
      <c r="F106" s="240"/>
    </row>
    <row r="107" spans="1:6" s="4" customFormat="1" ht="15.6">
      <c r="A107" s="93" t="s">
        <v>72</v>
      </c>
      <c r="B107" s="97" t="s">
        <v>11</v>
      </c>
      <c r="C107" s="88"/>
      <c r="D107" s="96"/>
      <c r="E107" s="214"/>
      <c r="F107" s="243"/>
    </row>
    <row r="108" spans="1:6" s="4" customFormat="1" ht="15.6">
      <c r="A108" s="14"/>
      <c r="B108" s="11"/>
      <c r="C108" s="12"/>
      <c r="D108" s="23"/>
      <c r="E108" s="205"/>
      <c r="F108" s="240"/>
    </row>
    <row r="109" spans="1:6" s="30" customFormat="1" ht="15.6">
      <c r="A109" s="15" t="s">
        <v>129</v>
      </c>
      <c r="B109" s="47" t="s">
        <v>134</v>
      </c>
      <c r="C109" s="49"/>
      <c r="D109" s="46"/>
      <c r="E109" s="216"/>
      <c r="F109" s="240"/>
    </row>
    <row r="110" spans="1:6" s="30" customFormat="1">
      <c r="A110" s="15" t="s">
        <v>160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0">
        <f>D110*E110</f>
        <v>0</v>
      </c>
    </row>
    <row r="111" spans="1:6" s="30" customFormat="1" ht="30.6">
      <c r="A111" s="290" t="s">
        <v>375</v>
      </c>
      <c r="B111" s="48" t="s">
        <v>135</v>
      </c>
      <c r="C111" s="12" t="s">
        <v>4</v>
      </c>
      <c r="D111" s="17">
        <f>(30.27*2+9.88+7.23)*1.5</f>
        <v>116.47500000000001</v>
      </c>
      <c r="E111" s="201"/>
      <c r="F111" s="240">
        <f t="shared" ref="F111:F118" si="9">D111*E111</f>
        <v>0</v>
      </c>
    </row>
    <row r="112" spans="1:6" s="4" customFormat="1" ht="15.6">
      <c r="A112" s="15" t="s">
        <v>130</v>
      </c>
      <c r="B112" s="47" t="s">
        <v>136</v>
      </c>
      <c r="C112" s="12"/>
      <c r="D112" s="17"/>
      <c r="E112" s="201"/>
      <c r="F112" s="240"/>
    </row>
    <row r="113" spans="1:6" s="4" customFormat="1">
      <c r="A113" s="15" t="s">
        <v>161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0">
        <f t="shared" si="9"/>
        <v>0</v>
      </c>
    </row>
    <row r="114" spans="1:6" s="4" customFormat="1" ht="15.6">
      <c r="A114" s="15" t="s">
        <v>377</v>
      </c>
      <c r="B114" s="47" t="s">
        <v>137</v>
      </c>
      <c r="C114" s="12"/>
      <c r="D114" s="17"/>
      <c r="E114" s="205"/>
      <c r="F114" s="240"/>
    </row>
    <row r="115" spans="1:6" s="4" customFormat="1" ht="28.5" customHeight="1">
      <c r="A115" s="291" t="s">
        <v>378</v>
      </c>
      <c r="B115" s="48" t="s">
        <v>138</v>
      </c>
      <c r="C115" s="12" t="s">
        <v>4</v>
      </c>
      <c r="D115" s="17">
        <f>2*(3*1.46*2.2+5*1*2.2)</f>
        <v>41.272000000000006</v>
      </c>
      <c r="E115" s="201"/>
      <c r="F115" s="240">
        <f t="shared" si="9"/>
        <v>0</v>
      </c>
    </row>
    <row r="116" spans="1:6" s="4" customFormat="1" ht="15.6">
      <c r="A116" s="16" t="s">
        <v>376</v>
      </c>
      <c r="B116" s="47" t="s">
        <v>342</v>
      </c>
      <c r="C116" s="12"/>
      <c r="D116" s="17"/>
      <c r="E116" s="201"/>
      <c r="F116" s="240"/>
    </row>
    <row r="117" spans="1:6" s="4" customFormat="1">
      <c r="A117" s="16" t="s">
        <v>379</v>
      </c>
      <c r="B117" s="48" t="s">
        <v>385</v>
      </c>
      <c r="C117" s="12" t="s">
        <v>4</v>
      </c>
      <c r="D117" s="17">
        <f>6*1.4*3+4*3*1.4</f>
        <v>41.999999999999993</v>
      </c>
      <c r="E117" s="201"/>
      <c r="F117" s="240">
        <f t="shared" ref="F117" si="10">D117*E117</f>
        <v>0</v>
      </c>
    </row>
    <row r="118" spans="1:6" s="4" customFormat="1" ht="15.6" thickBot="1">
      <c r="A118" s="16" t="s">
        <v>380</v>
      </c>
      <c r="B118" s="48" t="s">
        <v>139</v>
      </c>
      <c r="C118" s="12" t="s">
        <v>4</v>
      </c>
      <c r="D118" s="17">
        <f>6*1.4*3+4*3*1.4</f>
        <v>41.999999999999993</v>
      </c>
      <c r="E118" s="201"/>
      <c r="F118" s="240">
        <f t="shared" si="9"/>
        <v>0</v>
      </c>
    </row>
    <row r="119" spans="1:6" s="4" customFormat="1" ht="16.2" thickBot="1">
      <c r="A119" s="75"/>
      <c r="B119" s="76" t="s">
        <v>157</v>
      </c>
      <c r="C119" s="77"/>
      <c r="D119" s="78"/>
      <c r="E119" s="79"/>
      <c r="F119" s="245">
        <f>SUM(F109:F118)</f>
        <v>0</v>
      </c>
    </row>
    <row r="120" spans="1:6" s="40" customFormat="1" ht="16.2" thickBot="1">
      <c r="A120" s="189"/>
      <c r="B120" s="190"/>
      <c r="C120" s="191"/>
      <c r="D120" s="192"/>
      <c r="E120" s="193"/>
      <c r="F120" s="246"/>
    </row>
    <row r="121" spans="1:6" s="4" customFormat="1" ht="16.2" thickBot="1">
      <c r="A121" s="59"/>
      <c r="B121" s="60" t="s">
        <v>283</v>
      </c>
      <c r="C121" s="61"/>
      <c r="D121" s="62"/>
      <c r="E121" s="63"/>
      <c r="F121" s="247">
        <f>F14+F62+F69+F79+F85+F96+F105+F119</f>
        <v>0</v>
      </c>
    </row>
    <row r="122" spans="1:6" s="40" customFormat="1" ht="16.2" thickBot="1">
      <c r="A122" s="189"/>
      <c r="B122" s="190"/>
      <c r="C122" s="191"/>
      <c r="D122" s="192"/>
      <c r="E122" s="193"/>
      <c r="F122" s="246"/>
    </row>
    <row r="123" spans="1:6" s="4" customFormat="1" ht="18" thickBot="1">
      <c r="A123" s="59"/>
      <c r="B123" s="300" t="s">
        <v>343</v>
      </c>
      <c r="C123" s="61"/>
      <c r="D123" s="194">
        <v>0.1</v>
      </c>
      <c r="E123" s="63"/>
      <c r="F123" s="248">
        <f>F121*D123</f>
        <v>0</v>
      </c>
    </row>
    <row r="124" spans="1:6" s="40" customFormat="1" ht="16.2" thickBot="1">
      <c r="A124" s="31"/>
      <c r="B124" s="244"/>
      <c r="C124" s="249"/>
      <c r="D124" s="250"/>
      <c r="E124" s="251"/>
      <c r="F124" s="252"/>
    </row>
    <row r="125" spans="1:6" s="4" customFormat="1" ht="16.2" thickBot="1">
      <c r="A125" s="59"/>
      <c r="B125" s="60" t="s">
        <v>344</v>
      </c>
      <c r="C125" s="61"/>
      <c r="D125" s="62"/>
      <c r="E125" s="63"/>
      <c r="F125" s="248">
        <f>F121+F123</f>
        <v>0</v>
      </c>
    </row>
    <row r="126" spans="1:6" s="40" customFormat="1" ht="15.6">
      <c r="A126" s="31"/>
      <c r="B126" s="244"/>
      <c r="C126" s="249"/>
      <c r="D126" s="250"/>
      <c r="E126" s="251"/>
      <c r="F126" s="252"/>
    </row>
  </sheetData>
  <sheetProtection selectLockedCells="1"/>
  <mergeCells count="2">
    <mergeCell ref="B4:C4"/>
    <mergeCell ref="A5:F5"/>
  </mergeCells>
  <phoneticPr fontId="34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BE7F-8513-4225-B929-FDD52CD2786F}">
  <dimension ref="A1:F117"/>
  <sheetViews>
    <sheetView topLeftCell="A71" workbookViewId="0">
      <selection activeCell="B89" sqref="B89"/>
    </sheetView>
  </sheetViews>
  <sheetFormatPr baseColWidth="10" defaultRowHeight="14.4"/>
  <cols>
    <col min="2" max="2" width="60.109375" customWidth="1"/>
    <col min="3" max="3" width="12.6640625" customWidth="1"/>
    <col min="4" max="4" width="13.44140625" customWidth="1"/>
    <col min="5" max="5" width="14" customWidth="1"/>
    <col min="6" max="6" width="15.88671875" customWidth="1"/>
  </cols>
  <sheetData>
    <row r="1" spans="1:6" ht="15.6">
      <c r="A1" s="232"/>
      <c r="B1" s="232"/>
      <c r="C1" s="2"/>
      <c r="D1" s="3"/>
      <c r="E1" s="3"/>
      <c r="F1" s="3"/>
    </row>
    <row r="2" spans="1:6" ht="15.6">
      <c r="A2" s="232"/>
      <c r="B2" s="232"/>
      <c r="C2" s="2"/>
      <c r="D2" s="3"/>
      <c r="E2" s="3"/>
      <c r="F2" s="3"/>
    </row>
    <row r="3" spans="1:6" ht="15.6">
      <c r="A3" s="232"/>
      <c r="B3" s="232"/>
      <c r="C3" s="2"/>
      <c r="D3" s="3"/>
      <c r="E3" s="3"/>
      <c r="F3" s="3"/>
    </row>
    <row r="4" spans="1:6" ht="15.6">
      <c r="A4" s="232"/>
      <c r="B4" s="232"/>
      <c r="C4" s="2"/>
      <c r="D4" s="3"/>
      <c r="E4" s="3"/>
      <c r="F4" s="3"/>
    </row>
    <row r="5" spans="1:6" ht="15.6">
      <c r="A5" s="1"/>
      <c r="B5" s="1"/>
      <c r="C5" s="2"/>
      <c r="D5" s="3"/>
      <c r="E5" s="3"/>
      <c r="F5" s="3"/>
    </row>
    <row r="6" spans="1:6" ht="15" thickBot="1">
      <c r="A6" s="4"/>
      <c r="B6" s="413"/>
      <c r="C6" s="413"/>
      <c r="D6" s="5"/>
      <c r="E6" s="229"/>
      <c r="F6" s="229"/>
    </row>
    <row r="7" spans="1:6" ht="16.2" thickBot="1">
      <c r="A7" s="414" t="s">
        <v>435</v>
      </c>
      <c r="B7" s="415"/>
      <c r="C7" s="415"/>
      <c r="D7" s="415"/>
      <c r="E7" s="415"/>
      <c r="F7" s="416"/>
    </row>
    <row r="8" spans="1:6" ht="18" thickBot="1">
      <c r="A8" s="4"/>
      <c r="B8" s="7"/>
      <c r="C8" s="7"/>
      <c r="D8" s="8"/>
      <c r="E8" s="9"/>
      <c r="F8" s="9"/>
    </row>
    <row r="9" spans="1:6" ht="28.2" thickBot="1">
      <c r="A9" s="392" t="s">
        <v>436</v>
      </c>
      <c r="B9" s="393" t="s">
        <v>70</v>
      </c>
      <c r="C9" s="394" t="s">
        <v>75</v>
      </c>
      <c r="D9" s="395" t="s">
        <v>76</v>
      </c>
      <c r="E9" s="396" t="s">
        <v>77</v>
      </c>
      <c r="F9" s="394" t="s">
        <v>78</v>
      </c>
    </row>
    <row r="10" spans="1:6" ht="15.6">
      <c r="A10" s="66"/>
      <c r="B10" s="65"/>
      <c r="C10" s="6"/>
      <c r="D10" s="64"/>
      <c r="E10" s="198"/>
      <c r="F10" s="6"/>
    </row>
    <row r="11" spans="1:6" ht="15.6">
      <c r="A11" s="67" t="s">
        <v>144</v>
      </c>
      <c r="B11" s="68" t="s">
        <v>143</v>
      </c>
      <c r="C11" s="69"/>
      <c r="D11" s="70"/>
      <c r="E11" s="199"/>
      <c r="F11" s="397"/>
    </row>
    <row r="12" spans="1:6" ht="15.6">
      <c r="A12" s="98"/>
      <c r="B12" s="99"/>
      <c r="C12" s="32"/>
      <c r="D12" s="33"/>
      <c r="E12" s="200"/>
      <c r="F12" s="398"/>
    </row>
    <row r="13" spans="1:6" ht="15.6">
      <c r="A13" s="100" t="s">
        <v>68</v>
      </c>
      <c r="B13" s="101" t="s">
        <v>437</v>
      </c>
      <c r="C13" s="32" t="s">
        <v>173</v>
      </c>
      <c r="D13" s="33">
        <v>0</v>
      </c>
      <c r="E13" s="200"/>
      <c r="F13" s="399">
        <f t="shared" ref="F13:F14" si="0">D13*E13</f>
        <v>0</v>
      </c>
    </row>
    <row r="14" spans="1:6" ht="15.6">
      <c r="A14" s="15" t="s">
        <v>5</v>
      </c>
      <c r="B14" s="16" t="s">
        <v>172</v>
      </c>
      <c r="C14" s="12" t="s">
        <v>173</v>
      </c>
      <c r="D14" s="17">
        <v>0</v>
      </c>
      <c r="E14" s="201"/>
      <c r="F14" s="399">
        <f t="shared" si="0"/>
        <v>0</v>
      </c>
    </row>
    <row r="15" spans="1:6" ht="16.2" thickBot="1">
      <c r="A15" s="15" t="s">
        <v>69</v>
      </c>
      <c r="B15" s="16" t="s">
        <v>171</v>
      </c>
      <c r="C15" s="12" t="s">
        <v>173</v>
      </c>
      <c r="D15" s="17">
        <v>1</v>
      </c>
      <c r="E15" s="200"/>
      <c r="F15" s="399">
        <f>D15*E15</f>
        <v>0</v>
      </c>
    </row>
    <row r="16" spans="1:6" ht="16.2" thickBot="1">
      <c r="A16" s="52"/>
      <c r="B16" s="53" t="s">
        <v>152</v>
      </c>
      <c r="C16" s="54"/>
      <c r="D16" s="55"/>
      <c r="E16" s="202"/>
      <c r="F16" s="400">
        <f>SUM(F13:F15)</f>
        <v>0</v>
      </c>
    </row>
    <row r="17" spans="1:6" ht="15.6">
      <c r="A17" s="4"/>
      <c r="B17" s="71"/>
      <c r="C17" s="22"/>
      <c r="D17" s="23"/>
      <c r="E17" s="203"/>
      <c r="F17" s="399"/>
    </row>
    <row r="18" spans="1:6" ht="15.6">
      <c r="A18" s="67" t="s">
        <v>14</v>
      </c>
      <c r="B18" s="72" t="s">
        <v>145</v>
      </c>
      <c r="C18" s="73"/>
      <c r="D18" s="74"/>
      <c r="E18" s="204"/>
      <c r="F18" s="397"/>
    </row>
    <row r="19" spans="1:6" ht="15.6">
      <c r="A19" s="98"/>
      <c r="B19" s="401"/>
      <c r="C19" s="402"/>
      <c r="D19" s="403"/>
      <c r="E19" s="404"/>
      <c r="F19" s="398"/>
    </row>
    <row r="20" spans="1:6" ht="15.6">
      <c r="A20" s="14"/>
      <c r="B20" s="16" t="s">
        <v>80</v>
      </c>
      <c r="C20" s="22"/>
      <c r="D20" s="23"/>
      <c r="E20" s="205"/>
      <c r="F20" s="399"/>
    </row>
    <row r="21" spans="1:6" ht="15.6">
      <c r="A21" s="15" t="s">
        <v>79</v>
      </c>
      <c r="B21" s="16" t="s">
        <v>345</v>
      </c>
      <c r="C21" s="12" t="s">
        <v>7</v>
      </c>
      <c r="D21" s="50">
        <f>(26.7*3+9.88*2+7.23*2)</f>
        <v>114.32</v>
      </c>
      <c r="E21" s="201"/>
      <c r="F21" s="399"/>
    </row>
    <row r="22" spans="1:6" ht="15.6">
      <c r="A22" s="15" t="s">
        <v>81</v>
      </c>
      <c r="B22" s="16" t="s">
        <v>335</v>
      </c>
      <c r="C22" s="12" t="s">
        <v>10</v>
      </c>
      <c r="D22" s="50">
        <f>(26.7*3+9.88*2+7.23*2)*0.85*0.6</f>
        <v>58.303199999999997</v>
      </c>
      <c r="E22" s="201"/>
      <c r="F22" s="399">
        <f>D22*E22</f>
        <v>0</v>
      </c>
    </row>
    <row r="23" spans="1:6" ht="15.6">
      <c r="A23" s="15" t="s">
        <v>82</v>
      </c>
      <c r="B23" s="16" t="s">
        <v>83</v>
      </c>
      <c r="C23" s="12" t="s">
        <v>10</v>
      </c>
      <c r="D23" s="50">
        <f>(26.7*3+9.88*2+7.23*2)*0.65*0.45</f>
        <v>33.438600000000001</v>
      </c>
      <c r="E23" s="201"/>
      <c r="F23" s="399">
        <f t="shared" ref="F23:F24" si="1">D23*E23</f>
        <v>0</v>
      </c>
    </row>
    <row r="24" spans="1:6" ht="16.2" thickBot="1">
      <c r="A24" s="15" t="s">
        <v>438</v>
      </c>
      <c r="B24" s="16" t="s">
        <v>84</v>
      </c>
      <c r="C24" s="12" t="s">
        <v>10</v>
      </c>
      <c r="D24" s="50">
        <f>26.27*9.88*0.88</f>
        <v>228.40188799999999</v>
      </c>
      <c r="E24" s="201"/>
      <c r="F24" s="399">
        <f t="shared" si="1"/>
        <v>0</v>
      </c>
    </row>
    <row r="25" spans="1:6" ht="16.2" thickBot="1">
      <c r="A25" s="18"/>
      <c r="B25" s="268" t="s">
        <v>153</v>
      </c>
      <c r="C25" s="19"/>
      <c r="D25" s="20"/>
      <c r="E25" s="208"/>
      <c r="F25" s="405">
        <f>SUM(F22:F24)</f>
        <v>0</v>
      </c>
    </row>
    <row r="26" spans="1:6" ht="15.6">
      <c r="A26" s="24" t="s">
        <v>16</v>
      </c>
      <c r="B26" s="84" t="s">
        <v>170</v>
      </c>
      <c r="C26" s="25"/>
      <c r="D26" s="13"/>
      <c r="E26" s="207"/>
      <c r="F26" s="399"/>
    </row>
    <row r="27" spans="1:6" ht="15.6">
      <c r="A27" s="28" t="s">
        <v>17</v>
      </c>
      <c r="B27" s="27" t="s">
        <v>169</v>
      </c>
      <c r="C27" s="12"/>
      <c r="D27" s="17"/>
      <c r="E27" s="201"/>
      <c r="F27" s="399"/>
    </row>
    <row r="28" spans="1:6" ht="15.6">
      <c r="A28" s="28" t="s">
        <v>85</v>
      </c>
      <c r="B28" s="29" t="s">
        <v>86</v>
      </c>
      <c r="C28" s="12" t="s">
        <v>10</v>
      </c>
      <c r="D28" s="17">
        <f>D21*0.6*0.05</f>
        <v>3.4296000000000002</v>
      </c>
      <c r="E28" s="201"/>
      <c r="F28" s="399">
        <f>D28*E28</f>
        <v>0</v>
      </c>
    </row>
    <row r="29" spans="1:6" ht="15.6">
      <c r="A29" s="28" t="s">
        <v>87</v>
      </c>
      <c r="B29" s="29" t="s">
        <v>175</v>
      </c>
      <c r="C29" s="12" t="s">
        <v>10</v>
      </c>
      <c r="D29" s="17">
        <f>D21*0.6*0.1</f>
        <v>6.8592000000000004</v>
      </c>
      <c r="E29" s="201"/>
      <c r="F29" s="399">
        <f t="shared" ref="F29:F59" si="2">D29*E29</f>
        <v>0</v>
      </c>
    </row>
    <row r="30" spans="1:6" ht="15.6">
      <c r="A30" s="28" t="s">
        <v>88</v>
      </c>
      <c r="B30" s="29" t="s">
        <v>357</v>
      </c>
      <c r="C30" s="12" t="s">
        <v>10</v>
      </c>
      <c r="D30" s="17">
        <f>16*0.15*0.15*1+30*0.15*0.2*1+10*0.2*0.2*1</f>
        <v>1.6600000000000001</v>
      </c>
      <c r="E30" s="201"/>
      <c r="F30" s="399">
        <f t="shared" si="2"/>
        <v>0</v>
      </c>
    </row>
    <row r="31" spans="1:6" ht="15.6">
      <c r="A31" s="28" t="s">
        <v>89</v>
      </c>
      <c r="B31" s="29" t="s">
        <v>358</v>
      </c>
      <c r="C31" s="12" t="s">
        <v>10</v>
      </c>
      <c r="D31" s="17">
        <f>D21*0.2*0.15</f>
        <v>3.4296000000000002</v>
      </c>
      <c r="E31" s="201"/>
      <c r="F31" s="399">
        <f t="shared" si="2"/>
        <v>0</v>
      </c>
    </row>
    <row r="32" spans="1:6" ht="15.6">
      <c r="A32" s="28" t="s">
        <v>90</v>
      </c>
      <c r="B32" s="29" t="s">
        <v>177</v>
      </c>
      <c r="C32" s="12" t="s">
        <v>4</v>
      </c>
      <c r="D32" s="17">
        <f>D21*1.05</f>
        <v>120.036</v>
      </c>
      <c r="E32" s="201"/>
      <c r="F32" s="399">
        <f t="shared" si="2"/>
        <v>0</v>
      </c>
    </row>
    <row r="33" spans="1:6" ht="15.6">
      <c r="A33" s="28" t="s">
        <v>91</v>
      </c>
      <c r="B33" s="29" t="s">
        <v>439</v>
      </c>
      <c r="C33" s="32" t="s">
        <v>10</v>
      </c>
      <c r="D33" s="33">
        <f>26.47*9.88*0.1</f>
        <v>26.152360000000002</v>
      </c>
      <c r="E33" s="200"/>
      <c r="F33" s="399">
        <f t="shared" si="2"/>
        <v>0</v>
      </c>
    </row>
    <row r="34" spans="1:6" ht="15.6">
      <c r="A34" s="28"/>
      <c r="B34" s="29" t="s">
        <v>92</v>
      </c>
      <c r="C34" s="12" t="s">
        <v>4</v>
      </c>
      <c r="D34" s="17">
        <f>26.47*9.88</f>
        <v>261.52359999999999</v>
      </c>
      <c r="E34" s="201"/>
      <c r="F34" s="399">
        <f t="shared" si="2"/>
        <v>0</v>
      </c>
    </row>
    <row r="35" spans="1:6" ht="15.6">
      <c r="A35" s="28" t="s">
        <v>93</v>
      </c>
      <c r="B35" s="29" t="s">
        <v>94</v>
      </c>
      <c r="C35" s="12"/>
      <c r="D35" s="17"/>
      <c r="E35" s="201"/>
      <c r="F35" s="399"/>
    </row>
    <row r="36" spans="1:6" ht="64.2" customHeight="1">
      <c r="A36" s="28"/>
      <c r="B36" s="34" t="s">
        <v>351</v>
      </c>
      <c r="C36" s="12" t="s">
        <v>4</v>
      </c>
      <c r="D36" s="17">
        <f>26.7*0.44*4*2</f>
        <v>93.983999999999995</v>
      </c>
      <c r="E36" s="201"/>
      <c r="F36" s="399">
        <f t="shared" si="2"/>
        <v>0</v>
      </c>
    </row>
    <row r="37" spans="1:6" ht="15.6">
      <c r="A37" s="28"/>
      <c r="B37" s="31" t="s">
        <v>95</v>
      </c>
      <c r="C37" s="12" t="s">
        <v>10</v>
      </c>
      <c r="D37" s="17">
        <f>26.7*0.4*0.4*2</f>
        <v>8.5440000000000005</v>
      </c>
      <c r="E37" s="201"/>
      <c r="F37" s="399">
        <f t="shared" si="2"/>
        <v>0</v>
      </c>
    </row>
    <row r="38" spans="1:6" ht="15.6">
      <c r="A38" s="28"/>
      <c r="B38" s="31" t="s">
        <v>96</v>
      </c>
      <c r="C38" s="12" t="s">
        <v>10</v>
      </c>
      <c r="D38" s="17">
        <f>26.7*0.4*0.1*2</f>
        <v>2.1360000000000001</v>
      </c>
      <c r="E38" s="201"/>
      <c r="F38" s="399">
        <f t="shared" si="2"/>
        <v>0</v>
      </c>
    </row>
    <row r="39" spans="1:6" ht="15.6">
      <c r="A39" s="28" t="s">
        <v>24</v>
      </c>
      <c r="B39" s="83" t="s">
        <v>146</v>
      </c>
      <c r="C39" s="22"/>
      <c r="D39" s="17"/>
      <c r="E39" s="205"/>
      <c r="F39" s="399"/>
    </row>
    <row r="40" spans="1:6" ht="15.6">
      <c r="A40" s="28" t="s">
        <v>26</v>
      </c>
      <c r="B40" s="29" t="s">
        <v>440</v>
      </c>
      <c r="C40" s="12" t="s">
        <v>4</v>
      </c>
      <c r="D40" s="17">
        <f>3*(26.7*2+7.23*4)-3*(3*1.8*1.8+2.8*1.8+1.25*1.8+3*0.9*2.2+1.4*2.2)+4*(12*1.62/2)</f>
        <v>207.74999999999997</v>
      </c>
      <c r="E40" s="201"/>
      <c r="F40" s="399">
        <f t="shared" si="2"/>
        <v>0</v>
      </c>
    </row>
    <row r="41" spans="1:6" ht="15.6">
      <c r="A41" s="28" t="s">
        <v>367</v>
      </c>
      <c r="B41" s="29" t="s">
        <v>97</v>
      </c>
      <c r="C41" s="12" t="s">
        <v>10</v>
      </c>
      <c r="D41" s="17">
        <f>16*0.15*0.15*3.5+30*0.2*0.15*3.5+3.5*0.2*0.2</f>
        <v>4.5499999999999989</v>
      </c>
      <c r="E41" s="201"/>
      <c r="F41" s="399">
        <f t="shared" si="2"/>
        <v>0</v>
      </c>
    </row>
    <row r="42" spans="1:6" ht="15.6">
      <c r="A42" s="28" t="s">
        <v>147</v>
      </c>
      <c r="B42" s="29" t="s">
        <v>98</v>
      </c>
      <c r="C42" s="12" t="s">
        <v>10</v>
      </c>
      <c r="D42" s="17">
        <f>D31+(1*0.2*0.15+1.46*0.2*0.15)*3</f>
        <v>3.6510000000000002</v>
      </c>
      <c r="E42" s="201"/>
      <c r="F42" s="399">
        <f t="shared" si="2"/>
        <v>0</v>
      </c>
    </row>
    <row r="43" spans="1:6" ht="15.6">
      <c r="A43" s="28" t="s">
        <v>368</v>
      </c>
      <c r="B43" s="29" t="s">
        <v>100</v>
      </c>
      <c r="C43" s="12" t="s">
        <v>10</v>
      </c>
      <c r="D43" s="17">
        <f>4*12*0.2*0.1</f>
        <v>0.96000000000000019</v>
      </c>
      <c r="E43" s="201"/>
      <c r="F43" s="399">
        <f t="shared" si="2"/>
        <v>0</v>
      </c>
    </row>
    <row r="44" spans="1:6" ht="15.6">
      <c r="A44" s="28" t="s">
        <v>441</v>
      </c>
      <c r="B44" s="29" t="s">
        <v>33</v>
      </c>
      <c r="C44" s="12"/>
      <c r="D44" s="17"/>
      <c r="E44" s="201"/>
      <c r="F44" s="399"/>
    </row>
    <row r="45" spans="1:6" ht="15.6">
      <c r="A45" s="28"/>
      <c r="B45" s="29" t="s">
        <v>174</v>
      </c>
      <c r="C45" s="12" t="s">
        <v>4</v>
      </c>
      <c r="D45" s="17">
        <f>(26.7*2+7.23*2)*3+9.72*2-D48-4*0.9*2.2+3*1.4+6*(12*1.6/2)</f>
        <v>225.87</v>
      </c>
      <c r="E45" s="201"/>
      <c r="F45" s="399">
        <f t="shared" si="2"/>
        <v>0</v>
      </c>
    </row>
    <row r="46" spans="1:6" ht="15.6">
      <c r="A46" s="28"/>
      <c r="B46" s="29" t="s">
        <v>176</v>
      </c>
      <c r="C46" s="12" t="s">
        <v>4</v>
      </c>
      <c r="D46" s="17">
        <f>3*(26.7*2+7.23*6+3.5)-D45-4*1*2.2+3*1.4*2.2+6*(12*1.6/2)</f>
        <v>133.01000000000005</v>
      </c>
      <c r="E46" s="201"/>
      <c r="F46" s="399">
        <f t="shared" si="2"/>
        <v>0</v>
      </c>
    </row>
    <row r="47" spans="1:6" ht="15.6">
      <c r="A47" s="28" t="s">
        <v>28</v>
      </c>
      <c r="B47" s="29" t="s">
        <v>101</v>
      </c>
      <c r="C47" s="12"/>
      <c r="D47" s="17"/>
      <c r="E47" s="201"/>
      <c r="F47" s="399"/>
    </row>
    <row r="48" spans="1:6" ht="35.4" customHeight="1">
      <c r="A48" s="28" t="s">
        <v>29</v>
      </c>
      <c r="B48" s="51" t="s">
        <v>140</v>
      </c>
      <c r="C48" s="12" t="s">
        <v>102</v>
      </c>
      <c r="D48" s="17">
        <f>3*3*1.8*1.8+3*2.8*1.8+3*1.25*1.8</f>
        <v>51.03</v>
      </c>
      <c r="E48" s="201"/>
      <c r="F48" s="399">
        <f t="shared" si="2"/>
        <v>0</v>
      </c>
    </row>
    <row r="49" spans="1:6" ht="15.6">
      <c r="A49" s="28" t="s">
        <v>6</v>
      </c>
      <c r="B49" s="83" t="s">
        <v>34</v>
      </c>
      <c r="C49" s="12"/>
      <c r="D49" s="17"/>
      <c r="E49" s="201"/>
      <c r="F49" s="399"/>
    </row>
    <row r="50" spans="1:6" ht="43.2" customHeight="1">
      <c r="A50" s="28" t="s">
        <v>30</v>
      </c>
      <c r="B50" s="51" t="s">
        <v>442</v>
      </c>
      <c r="C50" s="12" t="s">
        <v>9</v>
      </c>
      <c r="D50" s="17">
        <v>3</v>
      </c>
      <c r="E50" s="201"/>
      <c r="F50" s="399">
        <f t="shared" ref="F50" si="3">D50*E50</f>
        <v>0</v>
      </c>
    </row>
    <row r="51" spans="1:6" ht="43.8" customHeight="1">
      <c r="A51" s="28" t="s">
        <v>30</v>
      </c>
      <c r="B51" s="51" t="s">
        <v>442</v>
      </c>
      <c r="C51" s="12" t="s">
        <v>9</v>
      </c>
      <c r="D51" s="17">
        <v>3</v>
      </c>
      <c r="E51" s="201"/>
      <c r="F51" s="399">
        <f t="shared" si="2"/>
        <v>0</v>
      </c>
    </row>
    <row r="52" spans="1:6" ht="15.6">
      <c r="A52" s="28" t="s">
        <v>31</v>
      </c>
      <c r="B52" s="29" t="s">
        <v>149</v>
      </c>
      <c r="C52" s="12" t="s">
        <v>9</v>
      </c>
      <c r="D52" s="17">
        <v>3</v>
      </c>
      <c r="E52" s="201"/>
      <c r="F52" s="399">
        <f t="shared" si="2"/>
        <v>0</v>
      </c>
    </row>
    <row r="53" spans="1:6" ht="15.6">
      <c r="A53" s="28" t="s">
        <v>106</v>
      </c>
      <c r="B53" s="27" t="s">
        <v>36</v>
      </c>
      <c r="C53" s="12"/>
      <c r="D53" s="17"/>
      <c r="E53" s="201"/>
      <c r="F53" s="399"/>
    </row>
    <row r="54" spans="1:6" ht="15.6">
      <c r="A54" s="28" t="s">
        <v>107</v>
      </c>
      <c r="B54" s="29" t="s">
        <v>103</v>
      </c>
      <c r="C54" s="12" t="s">
        <v>10</v>
      </c>
      <c r="D54" s="17">
        <f>1*1.5*0.3</f>
        <v>0.44999999999999996</v>
      </c>
      <c r="E54" s="201"/>
      <c r="F54" s="399">
        <f t="shared" si="2"/>
        <v>0</v>
      </c>
    </row>
    <row r="55" spans="1:6" ht="15.6">
      <c r="A55" s="28" t="s">
        <v>108</v>
      </c>
      <c r="B55" s="16" t="s">
        <v>105</v>
      </c>
      <c r="C55" s="12" t="s">
        <v>10</v>
      </c>
      <c r="D55" s="17">
        <f>1*1.5*0.2</f>
        <v>0.30000000000000004</v>
      </c>
      <c r="E55" s="201"/>
      <c r="F55" s="399">
        <f t="shared" si="2"/>
        <v>0</v>
      </c>
    </row>
    <row r="56" spans="1:6" ht="15.6">
      <c r="A56" s="28" t="s">
        <v>109</v>
      </c>
      <c r="B56" s="29" t="s">
        <v>86</v>
      </c>
      <c r="C56" s="12" t="s">
        <v>10</v>
      </c>
      <c r="D56" s="17">
        <f>1*1.5*0.05</f>
        <v>7.5000000000000011E-2</v>
      </c>
      <c r="E56" s="201"/>
      <c r="F56" s="399">
        <f t="shared" si="2"/>
        <v>0</v>
      </c>
    </row>
    <row r="57" spans="1:6" ht="15.6">
      <c r="A57" s="28" t="s">
        <v>148</v>
      </c>
      <c r="B57" s="29" t="s">
        <v>104</v>
      </c>
      <c r="C57" s="12" t="s">
        <v>4</v>
      </c>
      <c r="D57" s="17">
        <f>2.5*2*0.44</f>
        <v>2.2000000000000002</v>
      </c>
      <c r="E57" s="201"/>
      <c r="F57" s="399">
        <f t="shared" si="2"/>
        <v>0</v>
      </c>
    </row>
    <row r="58" spans="1:6" ht="15.6">
      <c r="A58" s="28"/>
      <c r="B58" s="29" t="s">
        <v>20</v>
      </c>
      <c r="C58" s="12" t="s">
        <v>10</v>
      </c>
      <c r="D58" s="17">
        <f>1*1.5*0.15</f>
        <v>0.22499999999999998</v>
      </c>
      <c r="E58" s="201"/>
      <c r="F58" s="399">
        <f t="shared" si="2"/>
        <v>0</v>
      </c>
    </row>
    <row r="59" spans="1:6" ht="15.6">
      <c r="A59" s="28"/>
      <c r="B59" s="29" t="s">
        <v>61</v>
      </c>
      <c r="C59" s="12" t="s">
        <v>23</v>
      </c>
      <c r="D59" s="17">
        <f>D58*70</f>
        <v>15.749999999999998</v>
      </c>
      <c r="E59" s="201"/>
      <c r="F59" s="399">
        <f t="shared" si="2"/>
        <v>0</v>
      </c>
    </row>
    <row r="60" spans="1:6" ht="15.6">
      <c r="A60" s="28" t="s">
        <v>110</v>
      </c>
      <c r="B60" s="27" t="s">
        <v>112</v>
      </c>
      <c r="C60" s="12"/>
      <c r="D60" s="17"/>
      <c r="E60" s="201"/>
      <c r="F60" s="399"/>
    </row>
    <row r="61" spans="1:6" ht="15.6">
      <c r="A61" s="28" t="s">
        <v>111</v>
      </c>
      <c r="B61" s="85" t="s">
        <v>384</v>
      </c>
      <c r="C61" s="12" t="s">
        <v>9</v>
      </c>
      <c r="D61" s="17">
        <v>3</v>
      </c>
      <c r="E61" s="201"/>
      <c r="F61" s="399">
        <f t="shared" ref="F61:F62" si="4">D61*E61</f>
        <v>0</v>
      </c>
    </row>
    <row r="62" spans="1:6" ht="16.2" thickBot="1">
      <c r="A62" s="28" t="s">
        <v>443</v>
      </c>
      <c r="B62" s="85" t="s">
        <v>444</v>
      </c>
      <c r="C62" s="12" t="s">
        <v>9</v>
      </c>
      <c r="D62" s="17">
        <v>3</v>
      </c>
      <c r="E62" s="201"/>
      <c r="F62" s="399">
        <f t="shared" si="4"/>
        <v>0</v>
      </c>
    </row>
    <row r="63" spans="1:6" ht="16.2" thickBot="1">
      <c r="A63" s="18"/>
      <c r="B63" s="91" t="s">
        <v>113</v>
      </c>
      <c r="C63" s="19"/>
      <c r="D63" s="20"/>
      <c r="E63" s="208"/>
      <c r="F63" s="405">
        <f>SUM(F28:F62)</f>
        <v>0</v>
      </c>
    </row>
    <row r="64" spans="1:6" ht="16.2" thickBot="1">
      <c r="A64" s="52"/>
      <c r="B64" s="53" t="s">
        <v>150</v>
      </c>
      <c r="C64" s="54"/>
      <c r="D64" s="55"/>
      <c r="E64" s="206"/>
      <c r="F64" s="400">
        <f>F25+F63</f>
        <v>0</v>
      </c>
    </row>
    <row r="65" spans="1:6" ht="15.6">
      <c r="A65" s="37"/>
      <c r="B65" s="38"/>
      <c r="C65" s="39"/>
      <c r="D65" s="33"/>
      <c r="E65" s="200"/>
      <c r="F65" s="398"/>
    </row>
    <row r="66" spans="1:6" ht="15.6">
      <c r="A66" s="87" t="s">
        <v>18</v>
      </c>
      <c r="B66" s="90" t="s">
        <v>71</v>
      </c>
      <c r="C66" s="88"/>
      <c r="D66" s="89"/>
      <c r="E66" s="209"/>
      <c r="F66" s="406"/>
    </row>
    <row r="67" spans="1:6" ht="15.6">
      <c r="A67" s="86"/>
      <c r="B67" s="244"/>
      <c r="C67" s="32"/>
      <c r="D67" s="33"/>
      <c r="E67" s="200"/>
      <c r="F67" s="398"/>
    </row>
    <row r="68" spans="1:6" ht="15.6">
      <c r="A68" s="28" t="s">
        <v>114</v>
      </c>
      <c r="B68" s="29" t="s">
        <v>115</v>
      </c>
      <c r="C68" s="12"/>
      <c r="D68" s="17"/>
      <c r="E68" s="201"/>
      <c r="F68" s="399"/>
    </row>
    <row r="69" spans="1:6" ht="15.6">
      <c r="A69" s="15" t="s">
        <v>117</v>
      </c>
      <c r="B69" s="16" t="s">
        <v>118</v>
      </c>
      <c r="C69" s="12" t="s">
        <v>10</v>
      </c>
      <c r="D69" s="17">
        <f>(27.7*9.88)/100</f>
        <v>2.7367599999999999</v>
      </c>
      <c r="E69" s="210"/>
      <c r="F69" s="399">
        <f t="shared" ref="F69:F70" si="5">D69*E69</f>
        <v>0</v>
      </c>
    </row>
    <row r="70" spans="1:6" ht="16.2" thickBot="1">
      <c r="A70" s="15" t="s">
        <v>445</v>
      </c>
      <c r="B70" s="16" t="s">
        <v>119</v>
      </c>
      <c r="C70" s="12" t="s">
        <v>9</v>
      </c>
      <c r="D70" s="17">
        <v>12</v>
      </c>
      <c r="E70" s="201"/>
      <c r="F70" s="399">
        <f t="shared" si="5"/>
        <v>0</v>
      </c>
    </row>
    <row r="71" spans="1:6" ht="16.2" thickBot="1">
      <c r="A71" s="56"/>
      <c r="B71" s="53" t="s">
        <v>151</v>
      </c>
      <c r="C71" s="57"/>
      <c r="D71" s="58"/>
      <c r="E71" s="211"/>
      <c r="F71" s="400">
        <f>SUM(F69:F70)</f>
        <v>0</v>
      </c>
    </row>
    <row r="72" spans="1:6" ht="15.6">
      <c r="A72" s="41"/>
      <c r="B72" s="42"/>
      <c r="C72" s="25"/>
      <c r="D72" s="17"/>
      <c r="E72" s="207"/>
      <c r="F72" s="399"/>
    </row>
    <row r="73" spans="1:6" ht="15.6">
      <c r="A73" s="87" t="s">
        <v>41</v>
      </c>
      <c r="B73" s="92" t="s">
        <v>42</v>
      </c>
      <c r="C73" s="88"/>
      <c r="D73" s="89"/>
      <c r="E73" s="209"/>
      <c r="F73" s="406"/>
    </row>
    <row r="74" spans="1:6" ht="15.6">
      <c r="A74" s="26"/>
      <c r="B74" s="42"/>
      <c r="C74" s="12"/>
      <c r="D74" s="17"/>
      <c r="E74" s="201"/>
      <c r="F74" s="399"/>
    </row>
    <row r="75" spans="1:6" ht="15.6">
      <c r="A75" s="28" t="s">
        <v>120</v>
      </c>
      <c r="B75" s="42" t="s">
        <v>158</v>
      </c>
      <c r="C75" s="12"/>
      <c r="D75" s="17"/>
      <c r="E75" s="201"/>
      <c r="F75" s="399"/>
    </row>
    <row r="76" spans="1:6" ht="15.6">
      <c r="A76" s="28" t="s">
        <v>121</v>
      </c>
      <c r="B76" s="29" t="s">
        <v>455</v>
      </c>
      <c r="C76" s="12" t="s">
        <v>4</v>
      </c>
      <c r="D76" s="17">
        <f>27.7*12</f>
        <v>332.4</v>
      </c>
      <c r="E76" s="201"/>
      <c r="F76" s="399">
        <f>D76*E76</f>
        <v>0</v>
      </c>
    </row>
    <row r="77" spans="1:6" ht="15.6">
      <c r="A77" s="28" t="s">
        <v>122</v>
      </c>
      <c r="B77" s="42" t="s">
        <v>123</v>
      </c>
      <c r="C77" s="12"/>
      <c r="D77" s="17"/>
      <c r="E77" s="201"/>
      <c r="F77" s="399"/>
    </row>
    <row r="78" spans="1:6" ht="15.6">
      <c r="A78" s="28" t="s">
        <v>124</v>
      </c>
      <c r="B78" s="29" t="s">
        <v>446</v>
      </c>
      <c r="C78" s="12" t="s">
        <v>7</v>
      </c>
      <c r="D78" s="17">
        <v>27.7</v>
      </c>
      <c r="E78" s="201"/>
      <c r="F78" s="399">
        <f t="shared" ref="F78:F80" si="6">D78*E78</f>
        <v>0</v>
      </c>
    </row>
    <row r="79" spans="1:6" ht="15.6">
      <c r="A79" s="28" t="s">
        <v>125</v>
      </c>
      <c r="B79" s="42" t="s">
        <v>127</v>
      </c>
      <c r="C79" s="22"/>
      <c r="D79" s="17"/>
      <c r="E79" s="205"/>
      <c r="F79" s="399"/>
    </row>
    <row r="80" spans="1:6" ht="16.2" thickBot="1">
      <c r="A80" s="35" t="s">
        <v>126</v>
      </c>
      <c r="B80" s="29" t="s">
        <v>447</v>
      </c>
      <c r="C80" s="36" t="s">
        <v>4</v>
      </c>
      <c r="D80" s="17">
        <f>(27.7*2+6*4)*0.4</f>
        <v>31.760000000000005</v>
      </c>
      <c r="E80" s="212"/>
      <c r="F80" s="399">
        <f t="shared" si="6"/>
        <v>0</v>
      </c>
    </row>
    <row r="81" spans="1:6" ht="16.2" thickBot="1">
      <c r="A81" s="56"/>
      <c r="B81" s="53" t="s">
        <v>154</v>
      </c>
      <c r="C81" s="54"/>
      <c r="D81" s="55"/>
      <c r="E81" s="206"/>
      <c r="F81" s="400">
        <f>SUM(F76:F80)</f>
        <v>0</v>
      </c>
    </row>
    <row r="82" spans="1:6" ht="15.6">
      <c r="A82" s="14"/>
      <c r="B82" s="43"/>
      <c r="C82" s="12"/>
      <c r="D82" s="17"/>
      <c r="E82" s="201"/>
      <c r="F82" s="399"/>
    </row>
    <row r="83" spans="1:6" ht="15.6">
      <c r="A83" s="93" t="s">
        <v>47</v>
      </c>
      <c r="B83" s="90" t="s">
        <v>48</v>
      </c>
      <c r="C83" s="88"/>
      <c r="D83" s="89"/>
      <c r="E83" s="209"/>
      <c r="F83" s="406"/>
    </row>
    <row r="84" spans="1:6" ht="15.6">
      <c r="A84" s="14"/>
      <c r="B84" s="43"/>
      <c r="C84" s="12"/>
      <c r="D84" s="17"/>
      <c r="E84" s="201"/>
      <c r="F84" s="399"/>
    </row>
    <row r="85" spans="1:6" ht="15.6">
      <c r="A85" s="16" t="s">
        <v>49</v>
      </c>
      <c r="B85" s="43" t="s">
        <v>51</v>
      </c>
      <c r="C85" s="12"/>
      <c r="D85" s="17"/>
      <c r="E85" s="201"/>
      <c r="F85" s="399"/>
    </row>
    <row r="86" spans="1:6" ht="16.2" thickBot="1">
      <c r="A86" s="29" t="s">
        <v>50</v>
      </c>
      <c r="B86" s="44" t="s">
        <v>159</v>
      </c>
      <c r="C86" s="12" t="s">
        <v>128</v>
      </c>
      <c r="D86" s="17">
        <v>1</v>
      </c>
      <c r="E86" s="201"/>
      <c r="F86" s="399">
        <f>D86*E86</f>
        <v>0</v>
      </c>
    </row>
    <row r="87" spans="1:6" ht="16.2" thickBot="1">
      <c r="A87" s="81"/>
      <c r="B87" s="82" t="s">
        <v>155</v>
      </c>
      <c r="C87" s="79"/>
      <c r="D87" s="78"/>
      <c r="E87" s="213"/>
      <c r="F87" s="407">
        <f>F86</f>
        <v>0</v>
      </c>
    </row>
    <row r="88" spans="1:6" ht="15.6">
      <c r="A88" s="41"/>
      <c r="B88" s="42"/>
      <c r="C88" s="45"/>
      <c r="D88" s="46"/>
      <c r="E88" s="207"/>
      <c r="F88" s="399"/>
    </row>
    <row r="89" spans="1:6" ht="15.6">
      <c r="A89" s="93" t="s">
        <v>53</v>
      </c>
      <c r="B89" s="94" t="s">
        <v>55</v>
      </c>
      <c r="C89" s="95"/>
      <c r="D89" s="96"/>
      <c r="E89" s="214"/>
      <c r="F89" s="406"/>
    </row>
    <row r="90" spans="1:6" ht="15.6">
      <c r="A90" s="14"/>
      <c r="B90" s="47"/>
      <c r="C90" s="22"/>
      <c r="D90" s="23"/>
      <c r="E90" s="205"/>
      <c r="F90" s="399"/>
    </row>
    <row r="91" spans="1:6" ht="18" customHeight="1">
      <c r="A91" s="15" t="s">
        <v>320</v>
      </c>
      <c r="B91" s="47" t="s">
        <v>131</v>
      </c>
      <c r="C91" s="12"/>
      <c r="D91" s="17"/>
      <c r="E91" s="201"/>
      <c r="F91" s="399"/>
    </row>
    <row r="92" spans="1:6" ht="15.6">
      <c r="A92" s="15" t="s">
        <v>321</v>
      </c>
      <c r="B92" s="16" t="s">
        <v>341</v>
      </c>
      <c r="C92" s="12" t="s">
        <v>9</v>
      </c>
      <c r="D92" s="17">
        <v>3</v>
      </c>
      <c r="E92" s="201"/>
      <c r="F92" s="399">
        <f>D92*E92</f>
        <v>0</v>
      </c>
    </row>
    <row r="93" spans="1:6" ht="15.6">
      <c r="A93" s="15" t="s">
        <v>321</v>
      </c>
      <c r="B93" s="16" t="s">
        <v>448</v>
      </c>
      <c r="C93" s="12" t="s">
        <v>9</v>
      </c>
      <c r="D93" s="17">
        <v>3</v>
      </c>
      <c r="E93" s="201"/>
      <c r="F93" s="399">
        <f>D93*E93</f>
        <v>0</v>
      </c>
    </row>
    <row r="94" spans="1:6" ht="31.8" customHeight="1">
      <c r="A94" s="15" t="s">
        <v>371</v>
      </c>
      <c r="B94" s="47" t="s">
        <v>132</v>
      </c>
      <c r="C94" s="12"/>
      <c r="D94" s="17"/>
      <c r="E94" s="201"/>
      <c r="F94" s="399"/>
    </row>
    <row r="95" spans="1:6" ht="16.2" thickBot="1">
      <c r="A95" s="15" t="s">
        <v>372</v>
      </c>
      <c r="B95" s="16" t="s">
        <v>449</v>
      </c>
      <c r="C95" s="12" t="s">
        <v>9</v>
      </c>
      <c r="D95" s="17">
        <v>3</v>
      </c>
      <c r="E95" s="201"/>
      <c r="F95" s="399">
        <f t="shared" ref="F95" si="7">D95*E95</f>
        <v>0</v>
      </c>
    </row>
    <row r="96" spans="1:6" ht="16.2" thickBot="1">
      <c r="A96" s="81"/>
      <c r="B96" s="76" t="s">
        <v>156</v>
      </c>
      <c r="C96" s="77"/>
      <c r="D96" s="80"/>
      <c r="E96" s="215"/>
      <c r="F96" s="407">
        <f>SUM(F92:F95)</f>
        <v>0</v>
      </c>
    </row>
    <row r="97" spans="1:6" ht="15.6">
      <c r="A97" s="14"/>
      <c r="B97" s="11"/>
      <c r="C97" s="12"/>
      <c r="D97" s="17"/>
      <c r="E97" s="201"/>
      <c r="F97" s="399"/>
    </row>
    <row r="98" spans="1:6" ht="15.6">
      <c r="A98" s="93" t="s">
        <v>72</v>
      </c>
      <c r="B98" s="97" t="s">
        <v>11</v>
      </c>
      <c r="C98" s="88"/>
      <c r="D98" s="96"/>
      <c r="E98" s="214"/>
      <c r="F98" s="406"/>
    </row>
    <row r="99" spans="1:6" ht="15.6">
      <c r="A99" s="14"/>
      <c r="B99" s="11"/>
      <c r="C99" s="12"/>
      <c r="D99" s="23"/>
      <c r="E99" s="205"/>
      <c r="F99" s="399"/>
    </row>
    <row r="100" spans="1:6" ht="18" customHeight="1">
      <c r="A100" s="15" t="s">
        <v>129</v>
      </c>
      <c r="B100" s="47" t="s">
        <v>134</v>
      </c>
      <c r="C100" s="49"/>
      <c r="D100" s="46"/>
      <c r="E100" s="216"/>
      <c r="F100" s="399"/>
    </row>
    <row r="101" spans="1:6" ht="29.4" customHeight="1">
      <c r="A101" s="15" t="s">
        <v>160</v>
      </c>
      <c r="B101" s="48" t="s">
        <v>59</v>
      </c>
      <c r="C101" s="12" t="s">
        <v>4</v>
      </c>
      <c r="D101" s="17">
        <f>(26.7*2+7.23*2)*2</f>
        <v>135.72</v>
      </c>
      <c r="E101" s="201"/>
      <c r="F101" s="399">
        <f>D101*E101</f>
        <v>0</v>
      </c>
    </row>
    <row r="102" spans="1:6" ht="36" customHeight="1">
      <c r="A102" s="15" t="s">
        <v>375</v>
      </c>
      <c r="B102" s="48" t="s">
        <v>135</v>
      </c>
      <c r="C102" s="12" t="s">
        <v>4</v>
      </c>
      <c r="D102" s="17">
        <f>1.5*(26.7*2+7.23*2)</f>
        <v>101.78999999999999</v>
      </c>
      <c r="E102" s="201"/>
      <c r="F102" s="399">
        <f t="shared" ref="F102:F106" si="8">D102*E102</f>
        <v>0</v>
      </c>
    </row>
    <row r="103" spans="1:6" ht="24" customHeight="1">
      <c r="A103" s="15" t="s">
        <v>130</v>
      </c>
      <c r="B103" s="47" t="s">
        <v>136</v>
      </c>
      <c r="C103" s="12"/>
      <c r="D103" s="17"/>
      <c r="E103" s="201"/>
      <c r="F103" s="399"/>
    </row>
    <row r="104" spans="1:6" ht="27" customHeight="1">
      <c r="A104" s="15" t="s">
        <v>161</v>
      </c>
      <c r="B104" s="48" t="s">
        <v>60</v>
      </c>
      <c r="C104" s="12" t="s">
        <v>4</v>
      </c>
      <c r="D104" s="17">
        <f>3.5*(26.7*2+7.23*6)</f>
        <v>338.73</v>
      </c>
      <c r="E104" s="201"/>
      <c r="F104" s="399">
        <f t="shared" si="8"/>
        <v>0</v>
      </c>
    </row>
    <row r="105" spans="1:6" ht="24.6" customHeight="1">
      <c r="A105" s="16" t="s">
        <v>376</v>
      </c>
      <c r="B105" s="47" t="s">
        <v>137</v>
      </c>
      <c r="C105" s="12"/>
      <c r="D105" s="17"/>
      <c r="E105" s="205"/>
      <c r="F105" s="399"/>
    </row>
    <row r="106" spans="1:6" ht="36" customHeight="1">
      <c r="A106" s="16" t="s">
        <v>379</v>
      </c>
      <c r="B106" s="48" t="s">
        <v>138</v>
      </c>
      <c r="C106" s="12" t="s">
        <v>4</v>
      </c>
      <c r="D106" s="17">
        <f>3*1.45*2.2*2+4*2*1*2.2</f>
        <v>36.74</v>
      </c>
      <c r="E106" s="201"/>
      <c r="F106" s="399">
        <f t="shared" si="8"/>
        <v>0</v>
      </c>
    </row>
    <row r="107" spans="1:6" ht="15.6">
      <c r="A107" s="16" t="s">
        <v>450</v>
      </c>
      <c r="B107" s="47" t="s">
        <v>342</v>
      </c>
      <c r="C107" s="12"/>
      <c r="D107" s="17"/>
      <c r="E107" s="201"/>
      <c r="F107" s="399"/>
    </row>
    <row r="108" spans="1:6" ht="20.399999999999999" customHeight="1">
      <c r="A108" s="16" t="s">
        <v>451</v>
      </c>
      <c r="B108" s="48" t="s">
        <v>385</v>
      </c>
      <c r="C108" s="12" t="s">
        <v>4</v>
      </c>
      <c r="D108" s="17">
        <f>6*1.4*3+3*3*1.4</f>
        <v>37.799999999999997</v>
      </c>
      <c r="E108" s="201"/>
      <c r="F108" s="399">
        <f t="shared" ref="F108:F109" si="9">D108*E108</f>
        <v>0</v>
      </c>
    </row>
    <row r="109" spans="1:6" ht="30" customHeight="1" thickBot="1">
      <c r="A109" s="16" t="s">
        <v>452</v>
      </c>
      <c r="B109" s="48" t="s">
        <v>139</v>
      </c>
      <c r="C109" s="12" t="s">
        <v>4</v>
      </c>
      <c r="D109" s="17">
        <f>6*1.4*3+3*3*1.4</f>
        <v>37.799999999999997</v>
      </c>
      <c r="E109" s="201"/>
      <c r="F109" s="399">
        <f t="shared" si="9"/>
        <v>0</v>
      </c>
    </row>
    <row r="110" spans="1:6" ht="16.2" thickBot="1">
      <c r="A110" s="75"/>
      <c r="B110" s="76" t="s">
        <v>157</v>
      </c>
      <c r="C110" s="77"/>
      <c r="D110" s="78"/>
      <c r="E110" s="79"/>
      <c r="F110" s="408">
        <f>SUM(F100:F109)</f>
        <v>0</v>
      </c>
    </row>
    <row r="111" spans="1:6" ht="16.2" thickBot="1">
      <c r="A111" s="189"/>
      <c r="B111" s="190"/>
      <c r="C111" s="191"/>
      <c r="D111" s="192"/>
      <c r="E111" s="193"/>
      <c r="F111" s="409"/>
    </row>
    <row r="112" spans="1:6" ht="16.2" thickBot="1">
      <c r="A112" s="59"/>
      <c r="B112" s="60" t="s">
        <v>453</v>
      </c>
      <c r="C112" s="61"/>
      <c r="D112" s="62"/>
      <c r="E112" s="63"/>
      <c r="F112" s="410">
        <f>F110+F96+F87+F81+F71+F64+F16</f>
        <v>0</v>
      </c>
    </row>
    <row r="113" spans="1:6" ht="16.2" thickBot="1">
      <c r="A113" s="189"/>
      <c r="B113" s="411"/>
      <c r="C113" s="191"/>
      <c r="D113" s="192"/>
      <c r="E113" s="193"/>
      <c r="F113" s="409"/>
    </row>
    <row r="114" spans="1:6" ht="16.2" thickBot="1">
      <c r="A114" s="59"/>
      <c r="B114" s="60" t="s">
        <v>343</v>
      </c>
      <c r="C114" s="61"/>
      <c r="D114" s="194">
        <v>0.1</v>
      </c>
      <c r="E114" s="63"/>
      <c r="F114" s="410">
        <f>F112*D114</f>
        <v>0</v>
      </c>
    </row>
    <row r="115" spans="1:6" ht="16.2" thickBot="1">
      <c r="A115" s="31"/>
      <c r="B115" s="244"/>
      <c r="C115" s="249"/>
      <c r="D115" s="250"/>
      <c r="E115" s="251"/>
      <c r="F115" s="412"/>
    </row>
    <row r="116" spans="1:6" ht="16.2" thickBot="1">
      <c r="A116" s="59"/>
      <c r="B116" s="60" t="s">
        <v>454</v>
      </c>
      <c r="C116" s="61"/>
      <c r="D116" s="62"/>
      <c r="E116" s="63"/>
      <c r="F116" s="410">
        <f>F114+F112</f>
        <v>0</v>
      </c>
    </row>
    <row r="117" spans="1:6" ht="15.6">
      <c r="A117" s="31"/>
      <c r="B117" s="244"/>
      <c r="C117" s="249"/>
      <c r="D117" s="250"/>
      <c r="E117" s="251"/>
      <c r="F117" s="412"/>
    </row>
  </sheetData>
  <mergeCells count="2">
    <mergeCell ref="B6:C6"/>
    <mergeCell ref="A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62" zoomScaleNormal="100" zoomScaleSheetLayoutView="100" workbookViewId="0">
      <selection activeCell="B99" sqref="B99"/>
    </sheetView>
  </sheetViews>
  <sheetFormatPr baseColWidth="10" defaultRowHeight="14.4"/>
  <cols>
    <col min="2" max="2" width="53.21875" customWidth="1"/>
    <col min="3" max="3" width="7.21875" customWidth="1"/>
    <col min="6" max="6" width="15.5546875" customWidth="1"/>
  </cols>
  <sheetData>
    <row r="1" spans="1:6" ht="89.55" customHeight="1">
      <c r="A1" s="421"/>
      <c r="B1" s="421"/>
      <c r="C1" s="421"/>
      <c r="D1" s="421"/>
      <c r="E1" s="421"/>
      <c r="F1" s="421"/>
    </row>
    <row r="2" spans="1:6">
      <c r="D2" s="188"/>
    </row>
    <row r="3" spans="1:6" s="197" customFormat="1" ht="17.25" customHeight="1">
      <c r="A3" s="422" t="s">
        <v>349</v>
      </c>
      <c r="B3" s="423"/>
      <c r="C3" s="423"/>
      <c r="D3" s="423"/>
      <c r="E3" s="423"/>
      <c r="F3" s="424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29.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6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178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334</v>
      </c>
      <c r="C8" s="128" t="s">
        <v>179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172</v>
      </c>
      <c r="C9" s="128" t="s">
        <v>179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179</v>
      </c>
      <c r="D10" s="129">
        <v>1</v>
      </c>
      <c r="E10" s="219"/>
      <c r="F10" s="130">
        <f>D10*E10</f>
        <v>0</v>
      </c>
    </row>
    <row r="11" spans="1:6" s="29" customFormat="1" ht="15.6">
      <c r="A11" s="118"/>
      <c r="B11" s="131" t="s">
        <v>180</v>
      </c>
      <c r="C11" s="132"/>
      <c r="D11" s="133"/>
      <c r="E11" s="220"/>
      <c r="F11" s="134">
        <f>SUM(F8:F10)</f>
        <v>0</v>
      </c>
    </row>
    <row r="12" spans="1:6" s="29" customFormat="1" ht="15.6">
      <c r="A12" s="118"/>
      <c r="B12" s="119"/>
      <c r="C12" s="120"/>
      <c r="D12" s="135"/>
      <c r="E12" s="221"/>
      <c r="F12" s="136"/>
    </row>
    <row r="13" spans="1:6" s="29" customFormat="1" ht="15.6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181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347</v>
      </c>
      <c r="C15" s="142" t="s">
        <v>280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182</v>
      </c>
      <c r="C16" s="142" t="s">
        <v>280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183</v>
      </c>
      <c r="C17" s="142" t="s">
        <v>280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6">
      <c r="A18" s="144"/>
      <c r="B18" s="145" t="s">
        <v>184</v>
      </c>
      <c r="C18" s="146"/>
      <c r="D18" s="147"/>
      <c r="E18" s="224"/>
      <c r="F18" s="148">
        <f>SUM(F15:F17)</f>
        <v>0</v>
      </c>
    </row>
    <row r="19" spans="1:6" s="29" customFormat="1" ht="15.6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185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87</v>
      </c>
      <c r="B22" s="127" t="s">
        <v>186</v>
      </c>
      <c r="C22" s="128"/>
      <c r="D22" s="143"/>
      <c r="E22" s="223"/>
      <c r="F22" s="130"/>
    </row>
    <row r="23" spans="1:6" s="31" customFormat="1" ht="17.25" customHeight="1">
      <c r="A23" s="126" t="s">
        <v>187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188</v>
      </c>
      <c r="B24" s="127" t="s">
        <v>348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88</v>
      </c>
      <c r="B25" s="127" t="s">
        <v>189</v>
      </c>
      <c r="C25" s="128"/>
      <c r="D25" s="143"/>
      <c r="E25" s="223"/>
      <c r="F25" s="130"/>
    </row>
    <row r="26" spans="1:6" s="31" customFormat="1" ht="17.25" customHeight="1">
      <c r="A26" s="126" t="s">
        <v>190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188</v>
      </c>
      <c r="B27" s="127" t="s">
        <v>348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191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89</v>
      </c>
      <c r="B29" s="127" t="s">
        <v>192</v>
      </c>
      <c r="C29" s="128"/>
      <c r="D29" s="143"/>
      <c r="E29" s="223"/>
      <c r="F29" s="130"/>
    </row>
    <row r="30" spans="1:6" s="31" customFormat="1" ht="17.25" customHeight="1">
      <c r="A30" s="126" t="s">
        <v>193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194</v>
      </c>
      <c r="B31" s="127" t="s">
        <v>348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195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90</v>
      </c>
      <c r="B33" s="127" t="s">
        <v>196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91</v>
      </c>
      <c r="B34" s="127" t="s">
        <v>197</v>
      </c>
      <c r="C34" s="128"/>
      <c r="D34" s="143"/>
      <c r="E34" s="223"/>
      <c r="F34" s="130"/>
    </row>
    <row r="35" spans="1:6" s="29" customFormat="1" ht="17.25" customHeight="1">
      <c r="A35" s="152" t="s">
        <v>198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198</v>
      </c>
      <c r="B36" s="127" t="s">
        <v>359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199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147</v>
      </c>
      <c r="B40" s="127" t="s">
        <v>200</v>
      </c>
      <c r="C40" s="128"/>
      <c r="D40" s="143"/>
      <c r="E40" s="223"/>
      <c r="F40" s="130"/>
    </row>
    <row r="41" spans="1:6" s="31" customFormat="1" ht="17.25" customHeight="1">
      <c r="A41" s="126" t="s">
        <v>201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202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203</v>
      </c>
      <c r="B43" s="127" t="s">
        <v>204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205</v>
      </c>
      <c r="C44" s="154"/>
      <c r="D44" s="121"/>
      <c r="E44" s="222"/>
      <c r="F44" s="136"/>
    </row>
    <row r="45" spans="1:6" s="29" customFormat="1" ht="17.25" customHeight="1">
      <c r="A45" s="152" t="s">
        <v>206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207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208</v>
      </c>
      <c r="B47" s="127" t="s">
        <v>204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209</v>
      </c>
      <c r="C48" s="154"/>
      <c r="D48" s="121"/>
      <c r="E48" s="222"/>
      <c r="F48" s="136"/>
    </row>
    <row r="49" spans="1:6" s="29" customFormat="1" ht="17.25" customHeight="1">
      <c r="A49" s="152" t="s">
        <v>210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211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212</v>
      </c>
      <c r="B51" s="127" t="s">
        <v>204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213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214</v>
      </c>
      <c r="B54" s="153" t="s">
        <v>215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216</v>
      </c>
      <c r="B55" s="153" t="s">
        <v>217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218</v>
      </c>
      <c r="B56" s="153" t="s">
        <v>219</v>
      </c>
      <c r="C56" s="154" t="s">
        <v>281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220</v>
      </c>
      <c r="B59" s="153" t="s">
        <v>346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106</v>
      </c>
      <c r="B62" s="159" t="s">
        <v>221</v>
      </c>
      <c r="C62" s="154"/>
      <c r="D62" s="121"/>
      <c r="E62" s="222"/>
      <c r="F62" s="136"/>
    </row>
    <row r="63" spans="1:6" s="29" customFormat="1" ht="17.25" customHeight="1">
      <c r="A63" s="152" t="s">
        <v>107</v>
      </c>
      <c r="B63" s="160" t="s">
        <v>222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223</v>
      </c>
      <c r="B64" s="161" t="s">
        <v>224</v>
      </c>
      <c r="C64" s="154"/>
      <c r="D64" s="121"/>
      <c r="E64" s="222"/>
      <c r="F64" s="136"/>
    </row>
    <row r="65" spans="1:6" s="29" customFormat="1" ht="17.25" hidden="1" customHeight="1">
      <c r="A65" s="152" t="s">
        <v>225</v>
      </c>
      <c r="B65" s="153" t="s">
        <v>226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227</v>
      </c>
      <c r="B66" s="153" t="s">
        <v>228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229</v>
      </c>
      <c r="B67" s="153" t="s">
        <v>230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231</v>
      </c>
      <c r="B68" s="153" t="s">
        <v>232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233</v>
      </c>
      <c r="B69" s="153" t="s">
        <v>234</v>
      </c>
      <c r="C69" s="154"/>
      <c r="D69" s="121"/>
      <c r="E69" s="222"/>
      <c r="F69" s="136"/>
    </row>
    <row r="70" spans="1:6" s="29" customFormat="1" ht="17.25" hidden="1" customHeight="1">
      <c r="A70" s="152" t="s">
        <v>235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236</v>
      </c>
      <c r="B71" s="153" t="s">
        <v>237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238</v>
      </c>
      <c r="B72" s="153" t="s">
        <v>99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239</v>
      </c>
      <c r="B73" s="153" t="s">
        <v>240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6">
      <c r="A75" s="152"/>
      <c r="B75" s="163"/>
      <c r="C75" s="120"/>
      <c r="D75" s="135"/>
      <c r="E75" s="221"/>
      <c r="F75" s="136"/>
    </row>
    <row r="76" spans="1:6" s="29" customFormat="1" ht="15.6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6">
      <c r="A77" s="152"/>
      <c r="B77" s="164"/>
      <c r="C77" s="120"/>
      <c r="D77" s="135"/>
      <c r="E77" s="221"/>
      <c r="F77" s="136"/>
    </row>
    <row r="78" spans="1:6" s="29" customFormat="1" ht="15.6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6">
      <c r="A79" s="152" t="s">
        <v>114</v>
      </c>
      <c r="B79" s="153" t="s">
        <v>115</v>
      </c>
      <c r="C79" s="154"/>
      <c r="D79" s="165"/>
      <c r="E79" s="226"/>
      <c r="F79" s="136"/>
    </row>
    <row r="80" spans="1:6" s="29" customFormat="1" ht="15.6">
      <c r="A80" s="152" t="s">
        <v>116</v>
      </c>
      <c r="B80" s="153" t="s">
        <v>241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6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6">
      <c r="A82" s="118"/>
      <c r="B82" s="164"/>
      <c r="C82" s="120"/>
      <c r="D82" s="135"/>
      <c r="E82" s="221"/>
      <c r="F82" s="136"/>
    </row>
    <row r="83" spans="1:6" s="29" customFormat="1" ht="15.6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6">
      <c r="A84" s="152" t="s">
        <v>120</v>
      </c>
      <c r="B84" s="153" t="s">
        <v>43</v>
      </c>
      <c r="C84" s="120"/>
      <c r="D84" s="135"/>
      <c r="E84" s="221"/>
      <c r="F84" s="136"/>
    </row>
    <row r="85" spans="1:6" s="29" customFormat="1" ht="15.6">
      <c r="A85" s="152" t="s">
        <v>121</v>
      </c>
      <c r="B85" s="158" t="s">
        <v>44</v>
      </c>
      <c r="C85" s="120"/>
      <c r="D85" s="135"/>
      <c r="E85" s="221"/>
      <c r="F85" s="136"/>
    </row>
    <row r="86" spans="1:6" s="29" customFormat="1" ht="15.6">
      <c r="A86" s="152" t="s">
        <v>142</v>
      </c>
      <c r="B86" s="153" t="s">
        <v>242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6">
      <c r="A87" s="152" t="s">
        <v>122</v>
      </c>
      <c r="B87" s="158" t="s">
        <v>123</v>
      </c>
      <c r="C87" s="154"/>
      <c r="D87" s="121"/>
      <c r="E87" s="226"/>
      <c r="F87" s="136"/>
    </row>
    <row r="88" spans="1:6" s="29" customFormat="1" ht="15.6">
      <c r="A88" s="152" t="s">
        <v>124</v>
      </c>
      <c r="B88" s="153" t="s">
        <v>243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6">
      <c r="A89" s="152" t="s">
        <v>244</v>
      </c>
      <c r="B89" s="158" t="s">
        <v>45</v>
      </c>
      <c r="C89" s="166"/>
      <c r="D89" s="167"/>
      <c r="E89" s="226"/>
      <c r="F89" s="136"/>
    </row>
    <row r="90" spans="1:6" s="29" customFormat="1" ht="15.6">
      <c r="A90" s="152" t="s">
        <v>245</v>
      </c>
      <c r="B90" s="153" t="s">
        <v>246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6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6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6">
      <c r="A95" s="172" t="s">
        <v>50</v>
      </c>
      <c r="B95" s="153" t="s">
        <v>247</v>
      </c>
      <c r="C95" s="154" t="s">
        <v>179</v>
      </c>
      <c r="D95" s="121">
        <v>1</v>
      </c>
      <c r="E95" s="226"/>
      <c r="F95" s="136">
        <f>D95*E95</f>
        <v>0</v>
      </c>
    </row>
    <row r="96" spans="1:6" s="29" customFormat="1" ht="15.6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6">
      <c r="A97" s="152"/>
      <c r="B97" s="139"/>
      <c r="C97" s="139"/>
      <c r="D97" s="173"/>
      <c r="E97" s="228"/>
      <c r="F97" s="136"/>
    </row>
    <row r="98" spans="1:6" s="29" customFormat="1" ht="15.6">
      <c r="A98" s="122" t="s">
        <v>53</v>
      </c>
      <c r="B98" s="123" t="s">
        <v>248</v>
      </c>
      <c r="C98" s="124"/>
      <c r="D98" s="125"/>
      <c r="E98" s="218"/>
      <c r="F98" s="124"/>
    </row>
    <row r="99" spans="1:6" s="29" customFormat="1" ht="19.95" customHeight="1">
      <c r="A99" s="172" t="s">
        <v>130</v>
      </c>
      <c r="B99" s="174" t="s">
        <v>249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6">
      <c r="A100" s="172" t="s">
        <v>129</v>
      </c>
      <c r="B100" s="176" t="s">
        <v>250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6">
      <c r="A101" s="172"/>
      <c r="B101" s="176"/>
      <c r="C101" s="120"/>
      <c r="D101" s="135"/>
      <c r="E101" s="221"/>
      <c r="F101" s="136"/>
    </row>
    <row r="102" spans="1:6" s="29" customFormat="1" ht="15.6">
      <c r="A102" s="152"/>
      <c r="B102" s="131" t="s">
        <v>251</v>
      </c>
      <c r="C102" s="177"/>
      <c r="D102" s="133"/>
      <c r="E102" s="220"/>
      <c r="F102" s="134">
        <f>SUM(F99:F101)</f>
        <v>0</v>
      </c>
    </row>
    <row r="103" spans="1:6" s="29" customFormat="1" ht="15.6">
      <c r="A103" s="152"/>
      <c r="B103" s="178"/>
      <c r="C103" s="120"/>
      <c r="D103" s="135"/>
      <c r="E103" s="221"/>
      <c r="F103" s="136"/>
    </row>
    <row r="104" spans="1:6" s="29" customFormat="1" ht="15.6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6">
      <c r="A105" s="152" t="s">
        <v>129</v>
      </c>
      <c r="B105" s="158" t="s">
        <v>252</v>
      </c>
      <c r="C105" s="120"/>
      <c r="D105" s="135"/>
      <c r="E105" s="221"/>
      <c r="F105" s="136"/>
    </row>
    <row r="106" spans="1:6" s="29" customFormat="1" ht="15.6">
      <c r="A106" s="152" t="s">
        <v>160</v>
      </c>
      <c r="B106" s="153" t="s">
        <v>253</v>
      </c>
      <c r="C106" s="120"/>
      <c r="D106" s="135"/>
      <c r="E106" s="221"/>
      <c r="F106" s="136"/>
    </row>
    <row r="107" spans="1:6" s="29" customFormat="1" ht="15.6">
      <c r="A107" s="152" t="s">
        <v>254</v>
      </c>
      <c r="B107" s="153" t="s">
        <v>255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6">
      <c r="A108" s="152" t="s">
        <v>256</v>
      </c>
      <c r="B108" s="153" t="s">
        <v>257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6">
      <c r="A109" s="152" t="s">
        <v>130</v>
      </c>
      <c r="B109" s="158" t="s">
        <v>258</v>
      </c>
      <c r="C109" s="154"/>
      <c r="D109" s="121"/>
      <c r="E109" s="226"/>
      <c r="F109" s="136"/>
    </row>
    <row r="110" spans="1:6" s="29" customFormat="1" ht="15.6">
      <c r="A110" s="152" t="s">
        <v>161</v>
      </c>
      <c r="B110" s="153" t="s">
        <v>259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">
      <c r="A112" s="181"/>
      <c r="B112" s="169"/>
      <c r="C112" s="182"/>
      <c r="D112" s="171"/>
      <c r="E112" s="227"/>
      <c r="F112" s="130"/>
    </row>
    <row r="113" spans="1:8" s="2" customFormat="1" ht="15.6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6">
      <c r="A114" s="152" t="s">
        <v>260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261</v>
      </c>
      <c r="B115" s="184" t="s">
        <v>262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263</v>
      </c>
      <c r="B116" s="184" t="s">
        <v>264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">
      <c r="A118" s="179"/>
      <c r="B118" s="230"/>
      <c r="C118" s="185"/>
      <c r="D118" s="135"/>
      <c r="E118" s="221"/>
      <c r="F118" s="136"/>
    </row>
    <row r="119" spans="1:8" s="29" customFormat="1" ht="15.6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6">
      <c r="A120" s="152" t="s">
        <v>141</v>
      </c>
      <c r="B120" s="186" t="s">
        <v>62</v>
      </c>
      <c r="C120" s="154"/>
      <c r="D120" s="165"/>
      <c r="E120" s="226"/>
      <c r="F120" s="136"/>
    </row>
    <row r="121" spans="1:8" s="29" customFormat="1" ht="15.6">
      <c r="A121" s="152" t="s">
        <v>162</v>
      </c>
      <c r="B121" s="153" t="s">
        <v>265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6">
      <c r="A122" s="152" t="s">
        <v>266</v>
      </c>
      <c r="B122" s="153" t="s">
        <v>267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6">
      <c r="A123" s="152" t="s">
        <v>268</v>
      </c>
      <c r="B123" s="158" t="s">
        <v>63</v>
      </c>
      <c r="C123" s="154"/>
      <c r="D123" s="121"/>
      <c r="E123" s="226"/>
      <c r="F123" s="136"/>
      <c r="H123" s="288"/>
    </row>
    <row r="124" spans="1:8" s="29" customFormat="1" ht="15.6">
      <c r="A124" s="152" t="s">
        <v>269</v>
      </c>
      <c r="B124" s="153" t="s">
        <v>270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6">
      <c r="A125" s="152" t="s">
        <v>271</v>
      </c>
      <c r="B125" s="153" t="s">
        <v>272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6">
      <c r="A126" s="172" t="s">
        <v>273</v>
      </c>
      <c r="B126" s="158" t="s">
        <v>57</v>
      </c>
      <c r="C126" s="154"/>
      <c r="D126" s="121"/>
      <c r="E126" s="226"/>
      <c r="F126" s="136"/>
    </row>
    <row r="127" spans="1:8" s="29" customFormat="1" ht="15.6">
      <c r="A127" s="172" t="s">
        <v>274</v>
      </c>
      <c r="B127" s="153" t="s">
        <v>275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">
      <c r="A129" s="425"/>
      <c r="B129" s="426"/>
      <c r="C129" s="426"/>
      <c r="D129" s="426"/>
      <c r="E129" s="426"/>
      <c r="F129" s="426"/>
    </row>
    <row r="130" spans="1:6" s="29" customFormat="1" ht="20.25" customHeight="1">
      <c r="A130" s="427" t="s">
        <v>276</v>
      </c>
      <c r="B130" s="428"/>
      <c r="C130" s="428"/>
      <c r="D130" s="253"/>
      <c r="E130" s="195"/>
      <c r="F130" s="187">
        <f>F128+F111+F102+F96+F91+F81+F76+F117+F11</f>
        <v>0</v>
      </c>
    </row>
    <row r="131" spans="1:6" s="29" customFormat="1" ht="15">
      <c r="A131" s="425"/>
      <c r="B131" s="426"/>
      <c r="C131" s="426"/>
      <c r="D131" s="426"/>
      <c r="E131" s="426"/>
      <c r="F131" s="426"/>
    </row>
    <row r="132" spans="1:6" s="29" customFormat="1" ht="20.25" customHeight="1">
      <c r="A132" s="427" t="s">
        <v>343</v>
      </c>
      <c r="B132" s="428"/>
      <c r="C132" s="428"/>
      <c r="D132" s="196">
        <v>0.1</v>
      </c>
      <c r="E132" s="195"/>
      <c r="F132" s="187">
        <f>F130*D132</f>
        <v>0</v>
      </c>
    </row>
    <row r="133" spans="1:6" s="29" customFormat="1" ht="15">
      <c r="A133" s="417"/>
      <c r="B133" s="418"/>
      <c r="C133" s="419"/>
      <c r="D133" s="419"/>
      <c r="E133" s="419"/>
      <c r="F133" s="419"/>
    </row>
    <row r="134" spans="1:6" s="29" customFormat="1" ht="24.75" customHeight="1">
      <c r="A134" s="417" t="s">
        <v>277</v>
      </c>
      <c r="B134" s="418"/>
      <c r="C134" s="419"/>
      <c r="D134" s="419"/>
      <c r="E134" s="420">
        <f>F130+F132</f>
        <v>0</v>
      </c>
      <c r="F134" s="420"/>
    </row>
    <row r="135" spans="1:6" s="29" customFormat="1" ht="15.6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0F84-B3C2-4F5D-AFD9-D54491371C32}">
  <sheetPr>
    <tabColor theme="0"/>
  </sheetPr>
  <dimension ref="A3:H114"/>
  <sheetViews>
    <sheetView view="pageBreakPreview" topLeftCell="A44" zoomScale="80" zoomScaleNormal="100" zoomScaleSheetLayoutView="80" workbookViewId="0">
      <selection activeCell="B67" sqref="B67"/>
    </sheetView>
  </sheetViews>
  <sheetFormatPr baseColWidth="10" defaultColWidth="11.5546875" defaultRowHeight="14.4"/>
  <cols>
    <col min="1" max="1" width="11.5546875" style="301"/>
    <col min="2" max="2" width="62.88671875" style="301" customWidth="1"/>
    <col min="3" max="3" width="8.33203125" style="301" customWidth="1"/>
    <col min="4" max="5" width="11.5546875" style="301"/>
    <col min="6" max="6" width="17" style="301" customWidth="1"/>
    <col min="7" max="16384" width="11.5546875" style="301"/>
  </cols>
  <sheetData>
    <row r="3" spans="1:8" s="302" customFormat="1" ht="30.75" customHeight="1">
      <c r="A3" s="429" t="s">
        <v>434</v>
      </c>
      <c r="B3" s="430"/>
      <c r="C3" s="430"/>
      <c r="D3" s="430"/>
      <c r="E3" s="430"/>
      <c r="F3" s="431"/>
    </row>
    <row r="4" spans="1:8" s="372" customFormat="1" ht="41.4">
      <c r="A4" s="376" t="s">
        <v>12</v>
      </c>
      <c r="B4" s="375" t="s">
        <v>8</v>
      </c>
      <c r="C4" s="373" t="s">
        <v>0</v>
      </c>
      <c r="D4" s="373" t="s">
        <v>2</v>
      </c>
      <c r="E4" s="374" t="s">
        <v>3</v>
      </c>
      <c r="F4" s="373" t="s">
        <v>1</v>
      </c>
    </row>
    <row r="5" spans="1:8" s="302" customFormat="1" ht="15">
      <c r="A5" s="350"/>
      <c r="B5" s="338"/>
      <c r="C5" s="347"/>
      <c r="D5" s="326"/>
      <c r="E5" s="327"/>
      <c r="F5" s="326"/>
    </row>
    <row r="6" spans="1:8" s="302" customFormat="1" ht="18" customHeight="1">
      <c r="A6" s="337" t="s">
        <v>13</v>
      </c>
      <c r="B6" s="336" t="s">
        <v>284</v>
      </c>
      <c r="C6" s="335"/>
      <c r="D6" s="333"/>
      <c r="E6" s="334"/>
      <c r="F6" s="333"/>
    </row>
    <row r="7" spans="1:8" s="302" customFormat="1" ht="18" customHeight="1">
      <c r="A7" s="332"/>
      <c r="B7" s="368"/>
      <c r="C7" s="328"/>
      <c r="D7" s="328"/>
      <c r="E7" s="327"/>
      <c r="F7" s="326"/>
    </row>
    <row r="8" spans="1:8" s="302" customFormat="1" ht="18" customHeight="1">
      <c r="A8" s="332" t="s">
        <v>285</v>
      </c>
      <c r="B8" s="329" t="s">
        <v>418</v>
      </c>
      <c r="C8" s="328" t="s">
        <v>404</v>
      </c>
      <c r="D8" s="328">
        <v>1</v>
      </c>
      <c r="E8" s="327"/>
      <c r="F8" s="326">
        <f>D8*E8</f>
        <v>0</v>
      </c>
    </row>
    <row r="9" spans="1:8" s="302" customFormat="1" ht="18" customHeight="1">
      <c r="A9" s="332" t="s">
        <v>286</v>
      </c>
      <c r="B9" s="329" t="s">
        <v>417</v>
      </c>
      <c r="C9" s="328" t="s">
        <v>9</v>
      </c>
      <c r="D9" s="328">
        <v>4</v>
      </c>
      <c r="E9" s="327"/>
      <c r="F9" s="326">
        <f>D9*E9</f>
        <v>0</v>
      </c>
    </row>
    <row r="10" spans="1:8" s="302" customFormat="1" ht="18" customHeight="1">
      <c r="A10" s="362"/>
      <c r="B10" s="371" t="s">
        <v>287</v>
      </c>
      <c r="C10" s="370"/>
      <c r="D10" s="370"/>
      <c r="E10" s="358"/>
      <c r="F10" s="357">
        <f>SUM(F8:F9)</f>
        <v>0</v>
      </c>
      <c r="H10" s="353"/>
    </row>
    <row r="11" spans="1:8" s="302" customFormat="1" ht="9.6" customHeight="1">
      <c r="A11" s="332"/>
      <c r="B11" s="368"/>
      <c r="C11" s="328"/>
      <c r="D11" s="328"/>
      <c r="E11" s="327"/>
      <c r="F11" s="326"/>
    </row>
    <row r="12" spans="1:8" s="302" customFormat="1" ht="17.399999999999999">
      <c r="A12" s="350"/>
      <c r="B12" s="369" t="s">
        <v>288</v>
      </c>
      <c r="C12" s="349"/>
      <c r="D12" s="322"/>
      <c r="E12" s="321"/>
      <c r="F12" s="320">
        <f>F10</f>
        <v>0</v>
      </c>
    </row>
    <row r="13" spans="1:8" s="302" customFormat="1" ht="15">
      <c r="A13" s="350"/>
      <c r="B13" s="338"/>
      <c r="C13" s="347"/>
      <c r="D13" s="326"/>
      <c r="E13" s="327"/>
      <c r="F13" s="326"/>
    </row>
    <row r="14" spans="1:8" s="302" customFormat="1" ht="15.6">
      <c r="A14" s="337" t="s">
        <v>14</v>
      </c>
      <c r="B14" s="336" t="s">
        <v>15</v>
      </c>
      <c r="C14" s="335"/>
      <c r="D14" s="333"/>
      <c r="E14" s="334"/>
      <c r="F14" s="333"/>
    </row>
    <row r="15" spans="1:8" s="302" customFormat="1" ht="17.25" customHeight="1">
      <c r="A15" s="332"/>
      <c r="B15" s="368"/>
      <c r="C15" s="328"/>
      <c r="D15" s="328"/>
      <c r="E15" s="363"/>
      <c r="F15" s="326"/>
    </row>
    <row r="16" spans="1:8" s="302" customFormat="1" ht="17.25" customHeight="1">
      <c r="A16" s="332" t="s">
        <v>79</v>
      </c>
      <c r="B16" s="367" t="s">
        <v>289</v>
      </c>
      <c r="C16" s="328"/>
      <c r="D16" s="328"/>
      <c r="E16" s="327"/>
      <c r="F16" s="326"/>
    </row>
    <row r="17" spans="1:6" s="302" customFormat="1" ht="15.6">
      <c r="A17" s="332" t="s">
        <v>290</v>
      </c>
      <c r="B17" s="366" t="s">
        <v>19</v>
      </c>
      <c r="C17" s="328"/>
      <c r="D17" s="328"/>
      <c r="E17" s="327"/>
      <c r="F17" s="326"/>
    </row>
    <row r="18" spans="1:6" s="302" customFormat="1" ht="18" customHeight="1">
      <c r="A18" s="332" t="s">
        <v>291</v>
      </c>
      <c r="B18" s="329" t="s">
        <v>292</v>
      </c>
      <c r="C18" s="328" t="s">
        <v>4</v>
      </c>
      <c r="D18" s="328">
        <v>0</v>
      </c>
      <c r="E18" s="327"/>
      <c r="F18" s="326">
        <f>D18*E18</f>
        <v>0</v>
      </c>
    </row>
    <row r="19" spans="1:6" s="302" customFormat="1" ht="18" customHeight="1">
      <c r="A19" s="332" t="s">
        <v>293</v>
      </c>
      <c r="B19" s="329" t="s">
        <v>294</v>
      </c>
      <c r="C19" s="328"/>
      <c r="D19" s="328"/>
      <c r="E19" s="327"/>
      <c r="F19" s="326"/>
    </row>
    <row r="20" spans="1:6" s="302" customFormat="1" ht="18" customHeight="1">
      <c r="A20" s="332"/>
      <c r="B20" s="329" t="s">
        <v>20</v>
      </c>
      <c r="C20" s="328" t="s">
        <v>10</v>
      </c>
      <c r="D20" s="328">
        <v>0</v>
      </c>
      <c r="E20" s="327"/>
      <c r="F20" s="326">
        <f>D20*E20</f>
        <v>0</v>
      </c>
    </row>
    <row r="21" spans="1:6" s="302" customFormat="1" ht="18" customHeight="1">
      <c r="A21" s="332"/>
      <c r="B21" s="329" t="s">
        <v>61</v>
      </c>
      <c r="C21" s="328" t="s">
        <v>23</v>
      </c>
      <c r="D21" s="328">
        <f>D20*70</f>
        <v>0</v>
      </c>
      <c r="E21" s="327"/>
      <c r="F21" s="326">
        <f>D21*E21</f>
        <v>0</v>
      </c>
    </row>
    <row r="22" spans="1:6" s="302" customFormat="1" ht="18" customHeight="1">
      <c r="A22" s="332"/>
      <c r="B22" s="329" t="s">
        <v>21</v>
      </c>
      <c r="C22" s="328" t="s">
        <v>4</v>
      </c>
      <c r="D22" s="328">
        <f>D20*12</f>
        <v>0</v>
      </c>
      <c r="E22" s="327"/>
      <c r="F22" s="326">
        <f>D22*E22</f>
        <v>0</v>
      </c>
    </row>
    <row r="23" spans="1:6" s="302" customFormat="1" ht="18" customHeight="1">
      <c r="A23" s="332"/>
      <c r="B23" s="329" t="s">
        <v>360</v>
      </c>
      <c r="C23" s="328" t="s">
        <v>4</v>
      </c>
      <c r="D23" s="328">
        <v>0</v>
      </c>
      <c r="E23" s="327"/>
      <c r="F23" s="326">
        <f>D23*E23</f>
        <v>0</v>
      </c>
    </row>
    <row r="24" spans="1:6" s="302" customFormat="1" ht="18" customHeight="1">
      <c r="A24" s="332" t="s">
        <v>295</v>
      </c>
      <c r="B24" s="365" t="s">
        <v>296</v>
      </c>
      <c r="C24" s="328"/>
      <c r="D24" s="328"/>
      <c r="E24" s="327"/>
      <c r="F24" s="326"/>
    </row>
    <row r="25" spans="1:6" s="302" customFormat="1" ht="18" customHeight="1">
      <c r="A25" s="332"/>
      <c r="B25" s="329" t="s">
        <v>20</v>
      </c>
      <c r="C25" s="328" t="s">
        <v>10</v>
      </c>
      <c r="D25" s="328">
        <f>2*2*1.5</f>
        <v>6</v>
      </c>
      <c r="E25" s="327"/>
      <c r="F25" s="326">
        <f>D25*E25</f>
        <v>0</v>
      </c>
    </row>
    <row r="26" spans="1:6" s="302" customFormat="1" ht="18" customHeight="1">
      <c r="A26" s="332"/>
      <c r="B26" s="329" t="s">
        <v>297</v>
      </c>
      <c r="C26" s="328" t="s">
        <v>23</v>
      </c>
      <c r="D26" s="328">
        <f>D25*12</f>
        <v>72</v>
      </c>
      <c r="E26" s="327"/>
      <c r="F26" s="326">
        <f>D26*E26</f>
        <v>0</v>
      </c>
    </row>
    <row r="27" spans="1:6" s="302" customFormat="1" ht="18" customHeight="1">
      <c r="A27" s="332" t="s">
        <v>298</v>
      </c>
      <c r="B27" s="365" t="s">
        <v>416</v>
      </c>
      <c r="C27" s="328"/>
      <c r="D27" s="328"/>
      <c r="E27" s="327"/>
      <c r="F27" s="326"/>
    </row>
    <row r="28" spans="1:6" s="302" customFormat="1" ht="18" customHeight="1">
      <c r="A28" s="332"/>
      <c r="B28" s="329" t="s">
        <v>299</v>
      </c>
      <c r="C28" s="328" t="s">
        <v>10</v>
      </c>
      <c r="D28" s="328">
        <f>4*3.5*0.1</f>
        <v>1.4000000000000001</v>
      </c>
      <c r="E28" s="327"/>
      <c r="F28" s="326">
        <f>D28*E28</f>
        <v>0</v>
      </c>
    </row>
    <row r="29" spans="1:6" s="302" customFormat="1" ht="18" customHeight="1">
      <c r="A29" s="332"/>
      <c r="B29" s="329" t="s">
        <v>300</v>
      </c>
      <c r="C29" s="328" t="s">
        <v>23</v>
      </c>
      <c r="D29" s="328">
        <f>D28*80</f>
        <v>112.00000000000001</v>
      </c>
      <c r="E29" s="327"/>
      <c r="F29" s="326">
        <f>D29*E29</f>
        <v>0</v>
      </c>
    </row>
    <row r="30" spans="1:6" s="302" customFormat="1" ht="18" customHeight="1">
      <c r="A30" s="332"/>
      <c r="B30" s="329" t="s">
        <v>301</v>
      </c>
      <c r="C30" s="328" t="s">
        <v>4</v>
      </c>
      <c r="D30" s="328">
        <f>D28*12</f>
        <v>16.8</v>
      </c>
      <c r="E30" s="327"/>
      <c r="F30" s="326">
        <f>D30*E30</f>
        <v>0</v>
      </c>
    </row>
    <row r="31" spans="1:6" s="302" customFormat="1" ht="18" customHeight="1">
      <c r="A31" s="332" t="s">
        <v>361</v>
      </c>
      <c r="B31" s="329" t="s">
        <v>362</v>
      </c>
      <c r="C31" s="328" t="s">
        <v>4</v>
      </c>
      <c r="D31" s="328">
        <v>0</v>
      </c>
      <c r="E31" s="327"/>
      <c r="F31" s="326">
        <f>D31*E31</f>
        <v>0</v>
      </c>
    </row>
    <row r="32" spans="1:6" s="302" customFormat="1" ht="17.25" customHeight="1">
      <c r="A32" s="332" t="s">
        <v>302</v>
      </c>
      <c r="B32" s="329" t="s">
        <v>25</v>
      </c>
      <c r="C32" s="355"/>
      <c r="D32" s="355"/>
      <c r="E32" s="363"/>
      <c r="F32" s="326"/>
    </row>
    <row r="33" spans="1:6" s="302" customFormat="1" ht="17.25" customHeight="1">
      <c r="A33" s="332" t="s">
        <v>303</v>
      </c>
      <c r="B33" s="365" t="s">
        <v>415</v>
      </c>
      <c r="C33" s="328" t="s">
        <v>4</v>
      </c>
      <c r="D33" s="328">
        <v>0</v>
      </c>
      <c r="E33" s="363"/>
      <c r="F33" s="326">
        <f>D33*E33</f>
        <v>0</v>
      </c>
    </row>
    <row r="34" spans="1:6" s="302" customFormat="1" ht="17.25" customHeight="1">
      <c r="A34" s="332" t="s">
        <v>304</v>
      </c>
      <c r="B34" s="365" t="s">
        <v>305</v>
      </c>
      <c r="C34" s="328"/>
      <c r="D34" s="328"/>
      <c r="E34" s="363"/>
      <c r="F34" s="326"/>
    </row>
    <row r="35" spans="1:6" s="302" customFormat="1" ht="17.25" customHeight="1">
      <c r="A35" s="332"/>
      <c r="B35" s="329" t="s">
        <v>20</v>
      </c>
      <c r="C35" s="328" t="s">
        <v>10</v>
      </c>
      <c r="D35" s="328">
        <v>0</v>
      </c>
      <c r="E35" s="363"/>
      <c r="F35" s="326">
        <f>D35*E35</f>
        <v>0</v>
      </c>
    </row>
    <row r="36" spans="1:6" s="302" customFormat="1" ht="17.25" customHeight="1">
      <c r="A36" s="332"/>
      <c r="B36" s="329" t="s">
        <v>22</v>
      </c>
      <c r="C36" s="328" t="s">
        <v>23</v>
      </c>
      <c r="D36" s="328">
        <f>D35*80</f>
        <v>0</v>
      </c>
      <c r="E36" s="363"/>
      <c r="F36" s="326">
        <f>D36*E36</f>
        <v>0</v>
      </c>
    </row>
    <row r="37" spans="1:6" s="302" customFormat="1" ht="17.25" customHeight="1">
      <c r="A37" s="332"/>
      <c r="B37" s="329" t="s">
        <v>21</v>
      </c>
      <c r="C37" s="328" t="s">
        <v>4</v>
      </c>
      <c r="D37" s="328">
        <f>D35*12</f>
        <v>0</v>
      </c>
      <c r="E37" s="363"/>
      <c r="F37" s="326">
        <f>D37*E37</f>
        <v>0</v>
      </c>
    </row>
    <row r="38" spans="1:6" s="302" customFormat="1" ht="17.25" customHeight="1">
      <c r="A38" s="332" t="s">
        <v>306</v>
      </c>
      <c r="B38" s="365" t="s">
        <v>307</v>
      </c>
      <c r="C38" s="328"/>
      <c r="D38" s="328"/>
      <c r="E38" s="363"/>
      <c r="F38" s="326"/>
    </row>
    <row r="39" spans="1:6" s="302" customFormat="1" ht="17.25" customHeight="1">
      <c r="A39" s="332"/>
      <c r="B39" s="329" t="s">
        <v>20</v>
      </c>
      <c r="C39" s="328" t="s">
        <v>10</v>
      </c>
      <c r="D39" s="328">
        <v>0</v>
      </c>
      <c r="E39" s="363"/>
      <c r="F39" s="326">
        <f>D39*E39</f>
        <v>0</v>
      </c>
    </row>
    <row r="40" spans="1:6" s="302" customFormat="1" ht="17.25" customHeight="1">
      <c r="A40" s="332"/>
      <c r="B40" s="329" t="s">
        <v>22</v>
      </c>
      <c r="C40" s="328" t="s">
        <v>23</v>
      </c>
      <c r="D40" s="328">
        <f>D39*80</f>
        <v>0</v>
      </c>
      <c r="E40" s="363"/>
      <c r="F40" s="326">
        <f>D40*E40</f>
        <v>0</v>
      </c>
    </row>
    <row r="41" spans="1:6" s="302" customFormat="1" ht="17.25" customHeight="1">
      <c r="A41" s="332"/>
      <c r="B41" s="329" t="s">
        <v>21</v>
      </c>
      <c r="C41" s="328" t="s">
        <v>4</v>
      </c>
      <c r="D41" s="328">
        <f>D39*12</f>
        <v>0</v>
      </c>
      <c r="E41" s="363"/>
      <c r="F41" s="326">
        <f>D41*E41</f>
        <v>0</v>
      </c>
    </row>
    <row r="42" spans="1:6" s="302" customFormat="1" ht="17.25" customHeight="1">
      <c r="A42" s="332" t="s">
        <v>308</v>
      </c>
      <c r="B42" s="329" t="s">
        <v>33</v>
      </c>
      <c r="C42" s="328"/>
      <c r="D42" s="328"/>
      <c r="E42" s="363"/>
      <c r="F42" s="326"/>
    </row>
    <row r="43" spans="1:6" s="302" customFormat="1" ht="17.25" customHeight="1">
      <c r="A43" s="332"/>
      <c r="B43" s="329" t="s">
        <v>414</v>
      </c>
      <c r="C43" s="328" t="s">
        <v>4</v>
      </c>
      <c r="D43" s="328">
        <v>0</v>
      </c>
      <c r="E43" s="363"/>
      <c r="F43" s="326">
        <f>D43*E43</f>
        <v>0</v>
      </c>
    </row>
    <row r="44" spans="1:6" s="302" customFormat="1" ht="17.25" customHeight="1">
      <c r="A44" s="332"/>
      <c r="B44" s="329" t="s">
        <v>413</v>
      </c>
      <c r="C44" s="328" t="s">
        <v>4</v>
      </c>
      <c r="D44" s="328">
        <v>0</v>
      </c>
      <c r="E44" s="363"/>
      <c r="F44" s="326">
        <f>D44*E44</f>
        <v>0</v>
      </c>
    </row>
    <row r="45" spans="1:6" s="302" customFormat="1" ht="17.25" customHeight="1">
      <c r="A45" s="332" t="s">
        <v>309</v>
      </c>
      <c r="B45" s="329" t="s">
        <v>310</v>
      </c>
      <c r="C45" s="328" t="s">
        <v>311</v>
      </c>
      <c r="D45" s="328">
        <f>0.6*0.6*3</f>
        <v>1.08</v>
      </c>
      <c r="E45" s="363"/>
      <c r="F45" s="326">
        <f>D45*E45</f>
        <v>0</v>
      </c>
    </row>
    <row r="46" spans="1:6" s="302" customFormat="1" ht="17.25" customHeight="1">
      <c r="A46" s="332" t="s">
        <v>312</v>
      </c>
      <c r="B46" s="364" t="s">
        <v>34</v>
      </c>
      <c r="C46" s="328"/>
      <c r="D46" s="328"/>
      <c r="E46" s="363"/>
      <c r="F46" s="326"/>
    </row>
    <row r="47" spans="1:6" s="302" customFormat="1" ht="17.25" customHeight="1">
      <c r="A47" s="332" t="s">
        <v>17</v>
      </c>
      <c r="B47" s="364" t="s">
        <v>35</v>
      </c>
      <c r="C47" s="328"/>
      <c r="D47" s="328"/>
      <c r="E47" s="363"/>
      <c r="F47" s="326"/>
    </row>
    <row r="48" spans="1:6" s="302" customFormat="1" ht="17.25" customHeight="1">
      <c r="A48" s="332" t="s">
        <v>85</v>
      </c>
      <c r="B48" s="329" t="s">
        <v>313</v>
      </c>
      <c r="C48" s="328" t="s">
        <v>9</v>
      </c>
      <c r="D48" s="328">
        <v>2</v>
      </c>
      <c r="E48" s="363"/>
      <c r="F48" s="326">
        <f>D48*E48</f>
        <v>0</v>
      </c>
    </row>
    <row r="49" spans="1:6" s="302" customFormat="1" ht="17.25" customHeight="1">
      <c r="A49" s="332" t="s">
        <v>31</v>
      </c>
      <c r="B49" s="364" t="s">
        <v>36</v>
      </c>
      <c r="C49" s="328"/>
      <c r="D49" s="328"/>
      <c r="E49" s="363"/>
      <c r="F49" s="326"/>
    </row>
    <row r="50" spans="1:6" s="302" customFormat="1" ht="17.25" customHeight="1">
      <c r="A50" s="332" t="s">
        <v>32</v>
      </c>
      <c r="B50" s="329" t="s">
        <v>64</v>
      </c>
      <c r="C50" s="328" t="s">
        <v>9</v>
      </c>
      <c r="D50" s="328">
        <v>0</v>
      </c>
      <c r="E50" s="363"/>
      <c r="F50" s="326">
        <f>D50*E50</f>
        <v>0</v>
      </c>
    </row>
    <row r="51" spans="1:6" s="302" customFormat="1" ht="17.25" customHeight="1">
      <c r="A51" s="362"/>
      <c r="B51" s="361" t="s">
        <v>37</v>
      </c>
      <c r="C51" s="360"/>
      <c r="D51" s="359"/>
      <c r="E51" s="358"/>
      <c r="F51" s="357">
        <f>SUM(F18:F50)</f>
        <v>0</v>
      </c>
    </row>
    <row r="52" spans="1:6" s="302" customFormat="1" ht="15.6">
      <c r="A52" s="332"/>
      <c r="B52" s="356"/>
      <c r="C52" s="347"/>
      <c r="D52" s="326"/>
      <c r="E52" s="327"/>
      <c r="F52" s="326"/>
    </row>
    <row r="53" spans="1:6" s="302" customFormat="1" ht="18.600000000000001" customHeight="1">
      <c r="A53" s="332"/>
      <c r="B53" s="324" t="s">
        <v>38</v>
      </c>
      <c r="C53" s="349"/>
      <c r="D53" s="322"/>
      <c r="E53" s="321"/>
      <c r="F53" s="320">
        <f>F51</f>
        <v>0</v>
      </c>
    </row>
    <row r="54" spans="1:6" s="302" customFormat="1" ht="15.6">
      <c r="A54" s="332"/>
      <c r="B54" s="354"/>
      <c r="C54" s="347"/>
      <c r="D54" s="326"/>
      <c r="E54" s="327"/>
      <c r="F54" s="326"/>
    </row>
    <row r="55" spans="1:6" s="302" customFormat="1" ht="15.6">
      <c r="A55" s="337" t="s">
        <v>18</v>
      </c>
      <c r="B55" s="336" t="s">
        <v>363</v>
      </c>
      <c r="C55" s="335"/>
      <c r="D55" s="333"/>
      <c r="E55" s="334"/>
      <c r="F55" s="333"/>
    </row>
    <row r="56" spans="1:6" s="302" customFormat="1" ht="15">
      <c r="A56" s="332" t="s">
        <v>114</v>
      </c>
      <c r="B56" s="329" t="s">
        <v>364</v>
      </c>
      <c r="C56" s="328" t="s">
        <v>9</v>
      </c>
      <c r="D56" s="328">
        <v>0</v>
      </c>
      <c r="E56" s="327"/>
      <c r="F56" s="326">
        <f>D56*E56</f>
        <v>0</v>
      </c>
    </row>
    <row r="57" spans="1:6" s="302" customFormat="1" ht="17.399999999999999">
      <c r="A57" s="350"/>
      <c r="B57" s="324" t="s">
        <v>365</v>
      </c>
      <c r="C57" s="349"/>
      <c r="D57" s="322"/>
      <c r="E57" s="321"/>
      <c r="F57" s="320">
        <f>SUM(F56:F56)</f>
        <v>0</v>
      </c>
    </row>
    <row r="58" spans="1:6" s="302" customFormat="1" ht="15.6">
      <c r="A58" s="350"/>
      <c r="B58" s="354"/>
      <c r="C58" s="347"/>
      <c r="D58" s="326"/>
      <c r="E58" s="327"/>
      <c r="F58" s="326"/>
    </row>
    <row r="59" spans="1:6" s="302" customFormat="1" ht="15.6">
      <c r="A59" s="337" t="s">
        <v>41</v>
      </c>
      <c r="B59" s="336" t="s">
        <v>39</v>
      </c>
      <c r="C59" s="335"/>
      <c r="D59" s="333"/>
      <c r="E59" s="334"/>
      <c r="F59" s="333"/>
    </row>
    <row r="60" spans="1:6" s="302" customFormat="1" ht="15">
      <c r="A60" s="332" t="s">
        <v>120</v>
      </c>
      <c r="B60" s="351" t="s">
        <v>432</v>
      </c>
      <c r="C60" s="328" t="s">
        <v>395</v>
      </c>
      <c r="D60" s="328">
        <v>2</v>
      </c>
      <c r="E60" s="327"/>
      <c r="F60" s="326">
        <f>D60*E60</f>
        <v>0</v>
      </c>
    </row>
    <row r="61" spans="1:6" s="302" customFormat="1" ht="17.399999999999999">
      <c r="A61" s="350"/>
      <c r="B61" s="324" t="s">
        <v>40</v>
      </c>
      <c r="C61" s="349"/>
      <c r="D61" s="322"/>
      <c r="E61" s="321"/>
      <c r="F61" s="320">
        <f>SUM(F60:F60)</f>
        <v>0</v>
      </c>
    </row>
    <row r="62" spans="1:6" s="302" customFormat="1" ht="15.6">
      <c r="A62" s="350"/>
      <c r="B62" s="354"/>
      <c r="C62" s="347"/>
      <c r="D62" s="326"/>
      <c r="E62" s="327"/>
      <c r="F62" s="326"/>
    </row>
    <row r="63" spans="1:6" s="302" customFormat="1" ht="15.6">
      <c r="A63" s="337" t="s">
        <v>47</v>
      </c>
      <c r="B63" s="336" t="s">
        <v>42</v>
      </c>
      <c r="C63" s="335"/>
      <c r="D63" s="333"/>
      <c r="E63" s="334"/>
      <c r="F63" s="333"/>
    </row>
    <row r="64" spans="1:6" s="302" customFormat="1" ht="15">
      <c r="A64" s="332" t="s">
        <v>49</v>
      </c>
      <c r="B64" s="351" t="s">
        <v>43</v>
      </c>
      <c r="C64" s="347"/>
      <c r="D64" s="326"/>
      <c r="E64" s="327"/>
      <c r="F64" s="326"/>
    </row>
    <row r="65" spans="1:6" s="302" customFormat="1" ht="15.6">
      <c r="A65" s="332" t="s">
        <v>50</v>
      </c>
      <c r="B65" s="331" t="s">
        <v>44</v>
      </c>
      <c r="C65" s="347"/>
      <c r="D65" s="326"/>
      <c r="E65" s="327"/>
      <c r="F65" s="326"/>
    </row>
    <row r="66" spans="1:6" s="302" customFormat="1" ht="15">
      <c r="A66" s="332" t="s">
        <v>314</v>
      </c>
      <c r="B66" s="329" t="s">
        <v>456</v>
      </c>
      <c r="C66" s="328" t="s">
        <v>4</v>
      </c>
      <c r="D66" s="328">
        <f>2.5*2</f>
        <v>5</v>
      </c>
      <c r="E66" s="327"/>
      <c r="F66" s="326">
        <f>D66*E66</f>
        <v>0</v>
      </c>
    </row>
    <row r="67" spans="1:6" s="302" customFormat="1" ht="15.6">
      <c r="A67" s="332" t="s">
        <v>315</v>
      </c>
      <c r="B67" s="331" t="s">
        <v>45</v>
      </c>
      <c r="C67" s="355"/>
      <c r="D67" s="355"/>
      <c r="E67" s="327"/>
      <c r="F67" s="326"/>
    </row>
    <row r="68" spans="1:6" s="302" customFormat="1" ht="15">
      <c r="A68" s="332" t="s">
        <v>316</v>
      </c>
      <c r="B68" s="329" t="s">
        <v>412</v>
      </c>
      <c r="C68" s="328" t="s">
        <v>4</v>
      </c>
      <c r="D68" s="328">
        <v>9</v>
      </c>
      <c r="E68" s="327"/>
      <c r="F68" s="326">
        <f>D68*E68</f>
        <v>0</v>
      </c>
    </row>
    <row r="69" spans="1:6" s="302" customFormat="1" ht="15.6">
      <c r="A69" s="332" t="s">
        <v>317</v>
      </c>
      <c r="B69" s="331" t="s">
        <v>411</v>
      </c>
      <c r="C69" s="328"/>
      <c r="D69" s="328"/>
      <c r="E69" s="327"/>
      <c r="F69" s="326"/>
    </row>
    <row r="70" spans="1:6" s="302" customFormat="1" ht="15">
      <c r="A70" s="332" t="s">
        <v>318</v>
      </c>
      <c r="B70" s="329" t="s">
        <v>319</v>
      </c>
      <c r="C70" s="328" t="s">
        <v>395</v>
      </c>
      <c r="D70" s="328">
        <v>1</v>
      </c>
      <c r="E70" s="327"/>
      <c r="F70" s="326">
        <f>D70*E70</f>
        <v>0</v>
      </c>
    </row>
    <row r="71" spans="1:6" s="302" customFormat="1" ht="17.25" customHeight="1">
      <c r="A71" s="350"/>
      <c r="B71" s="324" t="s">
        <v>46</v>
      </c>
      <c r="C71" s="349"/>
      <c r="D71" s="322"/>
      <c r="E71" s="321"/>
      <c r="F71" s="320">
        <f>SUM(F66:F70)</f>
        <v>0</v>
      </c>
    </row>
    <row r="72" spans="1:6" s="353" customFormat="1" ht="17.25" customHeight="1">
      <c r="A72" s="350"/>
      <c r="B72" s="354"/>
      <c r="C72" s="347"/>
      <c r="D72" s="326"/>
      <c r="E72" s="327"/>
      <c r="F72" s="326"/>
    </row>
    <row r="73" spans="1:6" s="302" customFormat="1" ht="15.6">
      <c r="A73" s="337" t="s">
        <v>53</v>
      </c>
      <c r="B73" s="336" t="s">
        <v>48</v>
      </c>
      <c r="C73" s="335"/>
      <c r="D73" s="333"/>
      <c r="E73" s="334"/>
      <c r="F73" s="333"/>
    </row>
    <row r="74" spans="1:6" s="302" customFormat="1" ht="15.6">
      <c r="A74" s="330" t="s">
        <v>320</v>
      </c>
      <c r="B74" s="352" t="s">
        <v>51</v>
      </c>
      <c r="C74" s="328"/>
      <c r="D74" s="328"/>
      <c r="E74" s="327"/>
      <c r="F74" s="326"/>
    </row>
    <row r="75" spans="1:6" s="302" customFormat="1" ht="15">
      <c r="A75" s="330" t="s">
        <v>321</v>
      </c>
      <c r="B75" s="351" t="s">
        <v>410</v>
      </c>
      <c r="C75" s="328" t="s">
        <v>4</v>
      </c>
      <c r="D75" s="328">
        <v>0.34</v>
      </c>
      <c r="E75" s="327"/>
      <c r="F75" s="326">
        <f>D75*E75</f>
        <v>0</v>
      </c>
    </row>
    <row r="76" spans="1:6" s="302" customFormat="1" ht="18" customHeight="1">
      <c r="A76" s="350"/>
      <c r="B76" s="324" t="s">
        <v>52</v>
      </c>
      <c r="C76" s="349"/>
      <c r="D76" s="322"/>
      <c r="E76" s="321"/>
      <c r="F76" s="320">
        <f>SUM(F75)</f>
        <v>0</v>
      </c>
    </row>
    <row r="77" spans="1:6" s="302" customFormat="1" ht="10.95" customHeight="1">
      <c r="A77" s="332"/>
      <c r="B77" s="348"/>
      <c r="C77" s="347"/>
      <c r="D77" s="326"/>
      <c r="E77" s="327"/>
      <c r="F77" s="326"/>
    </row>
    <row r="78" spans="1:6" s="302" customFormat="1" ht="15.6">
      <c r="A78" s="337" t="s">
        <v>72</v>
      </c>
      <c r="B78" s="336" t="s">
        <v>55</v>
      </c>
      <c r="C78" s="335"/>
      <c r="D78" s="333"/>
      <c r="E78" s="334"/>
      <c r="F78" s="333"/>
    </row>
    <row r="79" spans="1:6" s="302" customFormat="1" ht="15.6">
      <c r="A79" s="332" t="s">
        <v>129</v>
      </c>
      <c r="B79" s="331" t="s">
        <v>409</v>
      </c>
      <c r="C79" s="347"/>
      <c r="D79" s="326"/>
      <c r="E79" s="327"/>
      <c r="F79" s="326"/>
    </row>
    <row r="80" spans="1:6" s="302" customFormat="1" ht="15">
      <c r="A80" s="332" t="s">
        <v>160</v>
      </c>
      <c r="B80" s="329" t="s">
        <v>322</v>
      </c>
      <c r="C80" s="347"/>
      <c r="D80" s="326"/>
      <c r="E80" s="327"/>
      <c r="F80" s="326"/>
    </row>
    <row r="81" spans="1:6" s="302" customFormat="1" ht="15">
      <c r="A81" s="332"/>
      <c r="B81" s="329" t="s">
        <v>323</v>
      </c>
      <c r="C81" s="328" t="s">
        <v>9</v>
      </c>
      <c r="D81" s="328">
        <v>8</v>
      </c>
      <c r="E81" s="327"/>
      <c r="F81" s="326">
        <f>D81*E81</f>
        <v>0</v>
      </c>
    </row>
    <row r="82" spans="1:6" s="302" customFormat="1" ht="15">
      <c r="A82" s="332"/>
      <c r="B82" s="329" t="s">
        <v>408</v>
      </c>
      <c r="C82" s="328" t="s">
        <v>9</v>
      </c>
      <c r="D82" s="328">
        <v>4</v>
      </c>
      <c r="E82" s="327"/>
      <c r="F82" s="326">
        <f>D82*E82</f>
        <v>0</v>
      </c>
    </row>
    <row r="83" spans="1:6" s="302" customFormat="1" ht="17.399999999999999" customHeight="1">
      <c r="A83" s="325"/>
      <c r="B83" s="324" t="s">
        <v>56</v>
      </c>
      <c r="C83" s="323"/>
      <c r="D83" s="322"/>
      <c r="E83" s="321"/>
      <c r="F83" s="320">
        <f>SUM(F82:F82)</f>
        <v>0</v>
      </c>
    </row>
    <row r="84" spans="1:6" s="302" customFormat="1" ht="10.95" customHeight="1">
      <c r="A84" s="325"/>
      <c r="B84" s="338"/>
      <c r="C84" s="328"/>
      <c r="D84" s="326"/>
      <c r="E84" s="327"/>
      <c r="F84" s="326"/>
    </row>
    <row r="85" spans="1:6" s="302" customFormat="1" ht="15.6">
      <c r="A85" s="337" t="s">
        <v>54</v>
      </c>
      <c r="B85" s="336" t="s">
        <v>324</v>
      </c>
      <c r="C85" s="335"/>
      <c r="D85" s="333"/>
      <c r="E85" s="334"/>
      <c r="F85" s="333"/>
    </row>
    <row r="86" spans="1:6" s="302" customFormat="1" ht="15.6">
      <c r="A86" s="332" t="s">
        <v>325</v>
      </c>
      <c r="B86" s="331" t="s">
        <v>326</v>
      </c>
      <c r="C86" s="328"/>
      <c r="D86" s="326"/>
      <c r="E86" s="327"/>
      <c r="F86" s="326"/>
    </row>
    <row r="87" spans="1:6" s="302" customFormat="1" ht="15.6">
      <c r="A87" s="332" t="s">
        <v>327</v>
      </c>
      <c r="B87" s="331" t="s">
        <v>328</v>
      </c>
      <c r="C87" s="328"/>
      <c r="D87" s="328"/>
      <c r="E87" s="327"/>
      <c r="F87" s="326"/>
    </row>
    <row r="88" spans="1:6" s="302" customFormat="1" ht="18" customHeight="1">
      <c r="A88" s="332" t="s">
        <v>329</v>
      </c>
      <c r="B88" s="329" t="s">
        <v>407</v>
      </c>
      <c r="C88" s="328" t="s">
        <v>9</v>
      </c>
      <c r="D88" s="328">
        <v>4</v>
      </c>
      <c r="E88" s="327"/>
      <c r="F88" s="326">
        <f>D88*E88</f>
        <v>0</v>
      </c>
    </row>
    <row r="89" spans="1:6" s="302" customFormat="1" ht="30" customHeight="1">
      <c r="A89" s="332" t="s">
        <v>330</v>
      </c>
      <c r="B89" s="346" t="s">
        <v>406</v>
      </c>
      <c r="C89" s="328" t="s">
        <v>404</v>
      </c>
      <c r="D89" s="328">
        <v>1</v>
      </c>
      <c r="E89" s="327"/>
      <c r="F89" s="326">
        <f>D89*E89</f>
        <v>0</v>
      </c>
    </row>
    <row r="90" spans="1:6" s="302" customFormat="1" ht="21" customHeight="1">
      <c r="A90" s="332" t="s">
        <v>330</v>
      </c>
      <c r="B90" s="346" t="s">
        <v>405</v>
      </c>
      <c r="C90" s="328" t="s">
        <v>404</v>
      </c>
      <c r="D90" s="328">
        <v>2</v>
      </c>
      <c r="E90" s="327"/>
      <c r="F90" s="326">
        <f>D90*E90</f>
        <v>0</v>
      </c>
    </row>
    <row r="91" spans="1:6" s="302" customFormat="1" ht="17.399999999999999" customHeight="1">
      <c r="A91" s="325"/>
      <c r="B91" s="324" t="s">
        <v>331</v>
      </c>
      <c r="C91" s="323"/>
      <c r="D91" s="322"/>
      <c r="E91" s="321"/>
      <c r="F91" s="320">
        <f>SUM(F87:F90)</f>
        <v>0</v>
      </c>
    </row>
    <row r="92" spans="1:6" s="339" customFormat="1" ht="10.95" customHeight="1">
      <c r="A92" s="345"/>
      <c r="B92" s="344"/>
      <c r="C92" s="343"/>
      <c r="D92" s="342"/>
      <c r="E92" s="341"/>
      <c r="F92" s="340"/>
    </row>
    <row r="93" spans="1:6" s="302" customFormat="1" ht="15.6">
      <c r="A93" s="337" t="s">
        <v>73</v>
      </c>
      <c r="B93" s="336" t="s">
        <v>65</v>
      </c>
      <c r="C93" s="335"/>
      <c r="D93" s="333"/>
      <c r="E93" s="334"/>
      <c r="F93" s="333"/>
    </row>
    <row r="94" spans="1:6" s="302" customFormat="1" ht="15.6">
      <c r="A94" s="332" t="s">
        <v>141</v>
      </c>
      <c r="B94" s="331" t="s">
        <v>403</v>
      </c>
      <c r="C94" s="328"/>
      <c r="D94" s="328"/>
      <c r="E94" s="327"/>
      <c r="F94" s="326"/>
    </row>
    <row r="95" spans="1:6" s="302" customFormat="1" ht="18" customHeight="1">
      <c r="A95" s="332" t="s">
        <v>162</v>
      </c>
      <c r="B95" s="329" t="s">
        <v>402</v>
      </c>
      <c r="C95" s="328" t="s">
        <v>4</v>
      </c>
      <c r="D95" s="328">
        <f>10*3</f>
        <v>30</v>
      </c>
      <c r="E95" s="327"/>
      <c r="F95" s="326">
        <f>D95*E95</f>
        <v>0</v>
      </c>
    </row>
    <row r="96" spans="1:6" s="302" customFormat="1" ht="18" customHeight="1">
      <c r="A96" s="332" t="s">
        <v>332</v>
      </c>
      <c r="B96" s="329" t="s">
        <v>401</v>
      </c>
      <c r="C96" s="328" t="s">
        <v>4</v>
      </c>
      <c r="D96" s="328">
        <f>10*5*1</f>
        <v>50</v>
      </c>
      <c r="E96" s="327"/>
      <c r="F96" s="326">
        <f>D96*E96</f>
        <v>0</v>
      </c>
    </row>
    <row r="97" spans="1:6" s="302" customFormat="1" ht="16.95" customHeight="1">
      <c r="A97" s="325"/>
      <c r="B97" s="324" t="s">
        <v>67</v>
      </c>
      <c r="C97" s="323"/>
      <c r="D97" s="322"/>
      <c r="E97" s="321"/>
      <c r="F97" s="320">
        <f>SUM(F94:F96)</f>
        <v>0</v>
      </c>
    </row>
    <row r="98" spans="1:6" s="302" customFormat="1" ht="15">
      <c r="A98" s="325"/>
      <c r="B98" s="338"/>
      <c r="C98" s="328"/>
      <c r="D98" s="326"/>
      <c r="E98" s="327"/>
      <c r="F98" s="326"/>
    </row>
    <row r="99" spans="1:6" s="302" customFormat="1" ht="15.6">
      <c r="A99" s="337" t="s">
        <v>74</v>
      </c>
      <c r="B99" s="336" t="s">
        <v>11</v>
      </c>
      <c r="C99" s="335"/>
      <c r="D99" s="333"/>
      <c r="E99" s="334"/>
      <c r="F99" s="333"/>
    </row>
    <row r="100" spans="1:6" s="302" customFormat="1" ht="17.25" customHeight="1">
      <c r="A100" s="332" t="s">
        <v>133</v>
      </c>
      <c r="B100" s="331" t="s">
        <v>62</v>
      </c>
      <c r="C100" s="328"/>
      <c r="D100" s="328"/>
      <c r="E100" s="327"/>
      <c r="F100" s="326"/>
    </row>
    <row r="101" spans="1:6" s="302" customFormat="1" ht="15">
      <c r="A101" s="332" t="s">
        <v>163</v>
      </c>
      <c r="B101" s="329" t="s">
        <v>400</v>
      </c>
      <c r="C101" s="328" t="s">
        <v>4</v>
      </c>
      <c r="D101" s="328">
        <f>8*2*2.8+1.5*2*2.8</f>
        <v>53.199999999999996</v>
      </c>
      <c r="E101" s="327"/>
      <c r="F101" s="326">
        <f>D101*E101</f>
        <v>0</v>
      </c>
    </row>
    <row r="102" spans="1:6" s="302" customFormat="1" ht="15">
      <c r="A102" s="332" t="s">
        <v>164</v>
      </c>
      <c r="B102" s="329" t="s">
        <v>399</v>
      </c>
      <c r="C102" s="328" t="s">
        <v>4</v>
      </c>
      <c r="D102" s="328">
        <f>2*10*1</f>
        <v>20</v>
      </c>
      <c r="E102" s="327"/>
      <c r="F102" s="326">
        <f>D102*E102</f>
        <v>0</v>
      </c>
    </row>
    <row r="103" spans="1:6" s="302" customFormat="1" ht="15.6">
      <c r="A103" s="332" t="s">
        <v>165</v>
      </c>
      <c r="B103" s="331" t="s">
        <v>63</v>
      </c>
      <c r="C103" s="328"/>
      <c r="D103" s="328"/>
      <c r="E103" s="327"/>
      <c r="F103" s="326"/>
    </row>
    <row r="104" spans="1:6" s="302" customFormat="1" ht="15">
      <c r="A104" s="332" t="s">
        <v>166</v>
      </c>
      <c r="B104" s="329" t="s">
        <v>398</v>
      </c>
      <c r="C104" s="328" t="s">
        <v>4</v>
      </c>
      <c r="D104" s="328">
        <f>2*10*1.8+14*1.5*1.8</f>
        <v>73.800000000000011</v>
      </c>
      <c r="E104" s="327"/>
      <c r="F104" s="326">
        <f>D104*E104</f>
        <v>0</v>
      </c>
    </row>
    <row r="105" spans="1:6" s="302" customFormat="1" ht="15.6">
      <c r="A105" s="330" t="s">
        <v>167</v>
      </c>
      <c r="B105" s="331" t="s">
        <v>397</v>
      </c>
      <c r="C105" s="328"/>
      <c r="D105" s="328"/>
      <c r="E105" s="327"/>
      <c r="F105" s="326"/>
    </row>
    <row r="106" spans="1:6" s="302" customFormat="1" ht="15">
      <c r="A106" s="330" t="s">
        <v>168</v>
      </c>
      <c r="B106" s="329" t="s">
        <v>333</v>
      </c>
      <c r="C106" s="328" t="s">
        <v>4</v>
      </c>
      <c r="D106" s="328">
        <f>8*1.8*0.6*2</f>
        <v>17.28</v>
      </c>
      <c r="E106" s="327"/>
      <c r="F106" s="326">
        <f>D106*E106</f>
        <v>0</v>
      </c>
    </row>
    <row r="107" spans="1:6" s="302" customFormat="1" ht="16.95" customHeight="1">
      <c r="A107" s="325"/>
      <c r="B107" s="324" t="s">
        <v>58</v>
      </c>
      <c r="C107" s="323"/>
      <c r="D107" s="322"/>
      <c r="E107" s="321"/>
      <c r="F107" s="320">
        <f>SUM(F101:F106)</f>
        <v>0</v>
      </c>
    </row>
    <row r="108" spans="1:6" s="302" customFormat="1" ht="15">
      <c r="A108" s="319"/>
      <c r="B108" s="317"/>
      <c r="C108" s="317"/>
      <c r="D108" s="317"/>
      <c r="E108" s="318"/>
      <c r="F108" s="317"/>
    </row>
    <row r="109" spans="1:6" s="302" customFormat="1" ht="39" customHeight="1">
      <c r="A109" s="432" t="s">
        <v>433</v>
      </c>
      <c r="B109" s="433"/>
      <c r="C109" s="434"/>
      <c r="D109" s="316"/>
      <c r="E109" s="315"/>
      <c r="F109" s="314">
        <f>F107+F91+F83+F76+F71+F57+F53+F12+F97+F61</f>
        <v>0</v>
      </c>
    </row>
    <row r="110" spans="1:6" customFormat="1">
      <c r="E110" s="286"/>
    </row>
    <row r="111" spans="1:6" s="2" customFormat="1" ht="20.25" customHeight="1">
      <c r="A111" s="435" t="s">
        <v>366</v>
      </c>
      <c r="B111" s="436"/>
      <c r="C111" s="437"/>
      <c r="D111" s="287">
        <v>0.15</v>
      </c>
      <c r="E111" s="285"/>
      <c r="F111" s="284">
        <f>F109*D111</f>
        <v>0</v>
      </c>
    </row>
    <row r="112" spans="1:6" s="302" customFormat="1" ht="18" thickBot="1">
      <c r="A112" s="304"/>
      <c r="B112" s="304"/>
      <c r="D112" s="303"/>
      <c r="E112" s="313"/>
      <c r="F112" s="312"/>
    </row>
    <row r="113" spans="1:6" s="305" customFormat="1" ht="18" thickBot="1">
      <c r="A113" s="311"/>
      <c r="B113" s="310" t="s">
        <v>396</v>
      </c>
      <c r="C113" s="309"/>
      <c r="D113" s="308"/>
      <c r="E113" s="307"/>
      <c r="F113" s="306">
        <f>F109+F111</f>
        <v>0</v>
      </c>
    </row>
    <row r="114" spans="1:6" s="302" customFormat="1" ht="15">
      <c r="A114" s="304"/>
      <c r="B114" s="304"/>
      <c r="D114" s="303"/>
      <c r="E114" s="303"/>
      <c r="F114" s="303"/>
    </row>
  </sheetData>
  <sheetProtection selectLockedCells="1"/>
  <mergeCells count="3">
    <mergeCell ref="A3:F3"/>
    <mergeCell ref="A109:C109"/>
    <mergeCell ref="A111:C111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18C4-0959-4261-BE4B-AC6C3B28E9E0}">
  <dimension ref="A1:G38"/>
  <sheetViews>
    <sheetView topLeftCell="A22" workbookViewId="0">
      <selection activeCell="D46" sqref="D46"/>
    </sheetView>
  </sheetViews>
  <sheetFormatPr baseColWidth="10" defaultRowHeight="14.4"/>
  <cols>
    <col min="1" max="1" width="5.88671875" customWidth="1"/>
    <col min="2" max="2" width="60.33203125" customWidth="1"/>
    <col min="3" max="3" width="8.44140625" customWidth="1"/>
  </cols>
  <sheetData>
    <row r="1" spans="1:7" ht="38.4" customHeight="1" thickBot="1">
      <c r="A1" s="444" t="s">
        <v>457</v>
      </c>
      <c r="B1" s="445"/>
      <c r="C1" s="445"/>
      <c r="D1" s="445"/>
      <c r="E1" s="445"/>
      <c r="F1" s="446"/>
      <c r="G1" s="447"/>
    </row>
    <row r="2" spans="1:7">
      <c r="A2" s="449" t="s">
        <v>458</v>
      </c>
      <c r="B2" s="449" t="s">
        <v>459</v>
      </c>
      <c r="C2" s="450" t="s">
        <v>75</v>
      </c>
      <c r="D2" s="451" t="s">
        <v>460</v>
      </c>
      <c r="E2" s="449" t="s">
        <v>461</v>
      </c>
      <c r="F2" s="449" t="s">
        <v>462</v>
      </c>
      <c r="G2" s="448"/>
    </row>
    <row r="3" spans="1:7" ht="19.95" customHeight="1">
      <c r="A3" s="452">
        <v>1</v>
      </c>
      <c r="B3" s="453" t="s">
        <v>463</v>
      </c>
      <c r="C3" s="454"/>
      <c r="D3" s="455"/>
      <c r="E3" s="455"/>
      <c r="F3" s="455"/>
      <c r="G3" s="448"/>
    </row>
    <row r="4" spans="1:7" ht="19.95" customHeight="1">
      <c r="A4" s="455"/>
      <c r="B4" s="453" t="s">
        <v>464</v>
      </c>
      <c r="C4" s="456" t="s">
        <v>465</v>
      </c>
      <c r="D4" s="457">
        <v>1</v>
      </c>
      <c r="E4" s="458"/>
      <c r="F4" s="459">
        <f>D4*E4</f>
        <v>0</v>
      </c>
      <c r="G4" s="448"/>
    </row>
    <row r="5" spans="1:7" ht="19.95" customHeight="1">
      <c r="A5" s="452">
        <v>2</v>
      </c>
      <c r="B5" s="460" t="s">
        <v>466</v>
      </c>
      <c r="C5" s="454"/>
      <c r="D5" s="455"/>
      <c r="E5" s="455"/>
      <c r="F5" s="459"/>
      <c r="G5" s="448"/>
    </row>
    <row r="6" spans="1:7" ht="19.95" customHeight="1">
      <c r="A6" s="455"/>
      <c r="B6" s="453" t="s">
        <v>467</v>
      </c>
      <c r="C6" s="461" t="s">
        <v>7</v>
      </c>
      <c r="D6" s="462">
        <v>30</v>
      </c>
      <c r="E6" s="458"/>
      <c r="F6" s="459">
        <f>D6*E6</f>
        <v>0</v>
      </c>
      <c r="G6" s="448"/>
    </row>
    <row r="7" spans="1:7" ht="19.95" customHeight="1">
      <c r="A7" s="455"/>
      <c r="B7" s="453" t="s">
        <v>468</v>
      </c>
      <c r="C7" s="461" t="s">
        <v>7</v>
      </c>
      <c r="D7" s="462">
        <v>70</v>
      </c>
      <c r="E7" s="458"/>
      <c r="F7" s="459">
        <f>D7*E7</f>
        <v>0</v>
      </c>
      <c r="G7" s="448"/>
    </row>
    <row r="8" spans="1:7" ht="19.95" customHeight="1">
      <c r="A8" s="452">
        <v>3</v>
      </c>
      <c r="B8" s="460" t="s">
        <v>469</v>
      </c>
      <c r="C8" s="454"/>
      <c r="D8" s="455"/>
      <c r="E8" s="455"/>
      <c r="F8" s="459"/>
      <c r="G8" s="448"/>
    </row>
    <row r="9" spans="1:7" ht="19.95" customHeight="1">
      <c r="A9" s="455"/>
      <c r="B9" s="453" t="s">
        <v>470</v>
      </c>
      <c r="C9" s="461" t="s">
        <v>7</v>
      </c>
      <c r="D9" s="462">
        <v>82</v>
      </c>
      <c r="E9" s="458"/>
      <c r="F9" s="459">
        <f>D9*E9</f>
        <v>0</v>
      </c>
      <c r="G9" s="448"/>
    </row>
    <row r="10" spans="1:7" ht="19.95" customHeight="1">
      <c r="A10" s="455"/>
      <c r="B10" s="453" t="s">
        <v>471</v>
      </c>
      <c r="C10" s="461" t="s">
        <v>7</v>
      </c>
      <c r="D10" s="462">
        <v>18</v>
      </c>
      <c r="E10" s="458"/>
      <c r="F10" s="459">
        <f>D10*E10</f>
        <v>0</v>
      </c>
      <c r="G10" s="448"/>
    </row>
    <row r="11" spans="1:7" ht="19.95" customHeight="1">
      <c r="A11" s="464"/>
      <c r="B11" s="453" t="s">
        <v>472</v>
      </c>
      <c r="C11" s="461" t="s">
        <v>7</v>
      </c>
      <c r="D11" s="462">
        <v>40</v>
      </c>
      <c r="E11" s="458"/>
      <c r="F11" s="459">
        <f>D11*E11</f>
        <v>0</v>
      </c>
      <c r="G11" s="463"/>
    </row>
    <row r="12" spans="1:7" ht="19.95" customHeight="1">
      <c r="A12" s="455"/>
      <c r="B12" s="453" t="s">
        <v>473</v>
      </c>
      <c r="C12" s="456" t="s">
        <v>465</v>
      </c>
      <c r="D12" s="457">
        <v>1</v>
      </c>
      <c r="E12" s="458"/>
      <c r="F12" s="459">
        <f>D12*E12</f>
        <v>0</v>
      </c>
      <c r="G12" s="448"/>
    </row>
    <row r="13" spans="1:7" ht="19.95" customHeight="1">
      <c r="A13" s="452">
        <v>4</v>
      </c>
      <c r="B13" s="453" t="s">
        <v>474</v>
      </c>
      <c r="C13" s="454"/>
      <c r="D13" s="455"/>
      <c r="E13" s="455"/>
      <c r="F13" s="459"/>
      <c r="G13" s="448"/>
    </row>
    <row r="14" spans="1:7" ht="19.95" customHeight="1">
      <c r="A14" s="455"/>
      <c r="B14" s="453" t="s">
        <v>475</v>
      </c>
      <c r="C14" s="456" t="s">
        <v>465</v>
      </c>
      <c r="D14" s="457">
        <v>1</v>
      </c>
      <c r="E14" s="458"/>
      <c r="F14" s="459">
        <f>D14*E14</f>
        <v>0</v>
      </c>
      <c r="G14" s="448"/>
    </row>
    <row r="15" spans="1:7" ht="19.95" customHeight="1">
      <c r="A15" s="452">
        <v>5</v>
      </c>
      <c r="B15" s="453" t="s">
        <v>476</v>
      </c>
      <c r="C15" s="454"/>
      <c r="D15" s="455"/>
      <c r="E15" s="455"/>
      <c r="F15" s="459"/>
      <c r="G15" s="448"/>
    </row>
    <row r="16" spans="1:7" ht="19.95" customHeight="1">
      <c r="A16" s="455"/>
      <c r="B16" s="453" t="s">
        <v>477</v>
      </c>
      <c r="C16" s="456" t="s">
        <v>465</v>
      </c>
      <c r="D16" s="457">
        <v>1</v>
      </c>
      <c r="E16" s="458"/>
      <c r="F16" s="459">
        <f>D16*E16</f>
        <v>0</v>
      </c>
      <c r="G16" s="448"/>
    </row>
    <row r="17" spans="1:7" ht="19.95" customHeight="1">
      <c r="A17" s="452">
        <v>6</v>
      </c>
      <c r="B17" s="453" t="s">
        <v>478</v>
      </c>
      <c r="C17" s="454"/>
      <c r="D17" s="455"/>
      <c r="E17" s="455"/>
      <c r="F17" s="459"/>
      <c r="G17" s="448"/>
    </row>
    <row r="18" spans="1:7" ht="19.95" customHeight="1">
      <c r="A18" s="455"/>
      <c r="B18" s="465" t="s">
        <v>479</v>
      </c>
      <c r="C18" s="456" t="s">
        <v>465</v>
      </c>
      <c r="D18" s="457">
        <v>1</v>
      </c>
      <c r="E18" s="458"/>
      <c r="F18" s="459">
        <f t="shared" ref="F18:F25" si="0">D18*E18</f>
        <v>0</v>
      </c>
      <c r="G18" s="448"/>
    </row>
    <row r="19" spans="1:7" ht="19.95" customHeight="1">
      <c r="A19" s="455"/>
      <c r="B19" s="453" t="s">
        <v>480</v>
      </c>
      <c r="C19" s="456" t="s">
        <v>9</v>
      </c>
      <c r="D19" s="457">
        <v>1</v>
      </c>
      <c r="E19" s="458"/>
      <c r="F19" s="459">
        <f t="shared" si="0"/>
        <v>0</v>
      </c>
      <c r="G19" s="448"/>
    </row>
    <row r="20" spans="1:7" ht="19.95" customHeight="1">
      <c r="A20" s="455"/>
      <c r="B20" s="453" t="s">
        <v>481</v>
      </c>
      <c r="C20" s="456" t="s">
        <v>9</v>
      </c>
      <c r="D20" s="457">
        <v>1</v>
      </c>
      <c r="E20" s="458"/>
      <c r="F20" s="459">
        <f t="shared" si="0"/>
        <v>0</v>
      </c>
      <c r="G20" s="448"/>
    </row>
    <row r="21" spans="1:7" ht="19.95" customHeight="1">
      <c r="A21" s="455"/>
      <c r="B21" s="453" t="s">
        <v>482</v>
      </c>
      <c r="C21" s="461" t="s">
        <v>7</v>
      </c>
      <c r="D21" s="462">
        <v>100</v>
      </c>
      <c r="E21" s="458"/>
      <c r="F21" s="459">
        <f t="shared" si="0"/>
        <v>0</v>
      </c>
      <c r="G21" s="448"/>
    </row>
    <row r="22" spans="1:7" ht="19.95" customHeight="1">
      <c r="A22" s="455"/>
      <c r="B22" s="453" t="s">
        <v>483</v>
      </c>
      <c r="C22" s="461" t="s">
        <v>7</v>
      </c>
      <c r="D22" s="462">
        <v>60</v>
      </c>
      <c r="E22" s="458"/>
      <c r="F22" s="459">
        <f t="shared" si="0"/>
        <v>0</v>
      </c>
      <c r="G22" s="448"/>
    </row>
    <row r="23" spans="1:7" ht="19.95" customHeight="1">
      <c r="A23" s="455"/>
      <c r="B23" s="453" t="s">
        <v>484</v>
      </c>
      <c r="C23" s="456" t="s">
        <v>9</v>
      </c>
      <c r="D23" s="457">
        <v>1</v>
      </c>
      <c r="E23" s="458"/>
      <c r="F23" s="459">
        <f t="shared" si="0"/>
        <v>0</v>
      </c>
      <c r="G23" s="448"/>
    </row>
    <row r="24" spans="1:7" ht="19.95" customHeight="1">
      <c r="A24" s="455"/>
      <c r="B24" s="453" t="s">
        <v>485</v>
      </c>
      <c r="C24" s="456" t="s">
        <v>9</v>
      </c>
      <c r="D24" s="457">
        <v>1</v>
      </c>
      <c r="E24" s="458"/>
      <c r="F24" s="459">
        <f t="shared" si="0"/>
        <v>0</v>
      </c>
      <c r="G24" s="448"/>
    </row>
    <row r="25" spans="1:7" ht="19.95" customHeight="1">
      <c r="A25" s="455"/>
      <c r="B25" s="453" t="s">
        <v>486</v>
      </c>
      <c r="C25" s="466" t="s">
        <v>487</v>
      </c>
      <c r="D25" s="457">
        <v>1</v>
      </c>
      <c r="E25" s="458"/>
      <c r="F25" s="459">
        <f t="shared" si="0"/>
        <v>0</v>
      </c>
      <c r="G25" s="448"/>
    </row>
    <row r="26" spans="1:7" ht="19.95" customHeight="1">
      <c r="A26" s="455"/>
      <c r="B26" s="467" t="s">
        <v>488</v>
      </c>
      <c r="C26" s="456"/>
      <c r="D26" s="457"/>
      <c r="E26" s="458"/>
      <c r="F26" s="459"/>
      <c r="G26" s="448"/>
    </row>
    <row r="27" spans="1:7" ht="19.95" customHeight="1">
      <c r="A27" s="455"/>
      <c r="B27" s="468" t="s">
        <v>489</v>
      </c>
      <c r="C27" s="469" t="s">
        <v>7</v>
      </c>
      <c r="D27" s="470">
        <v>8</v>
      </c>
      <c r="E27" s="458"/>
      <c r="F27" s="459">
        <f t="shared" ref="F27:F33" si="1">D27*E27</f>
        <v>0</v>
      </c>
      <c r="G27" s="448"/>
    </row>
    <row r="28" spans="1:7" ht="19.95" customHeight="1">
      <c r="A28" s="455"/>
      <c r="B28" s="468" t="s">
        <v>490</v>
      </c>
      <c r="C28" s="469" t="s">
        <v>10</v>
      </c>
      <c r="D28" s="471">
        <f>8*0.1*0.5</f>
        <v>0.4</v>
      </c>
      <c r="E28" s="458"/>
      <c r="F28" s="459">
        <f t="shared" si="1"/>
        <v>0</v>
      </c>
      <c r="G28" s="448"/>
    </row>
    <row r="29" spans="1:7" ht="19.95" customHeight="1">
      <c r="A29" s="455"/>
      <c r="B29" s="468" t="s">
        <v>491</v>
      </c>
      <c r="C29" s="469" t="s">
        <v>4</v>
      </c>
      <c r="D29" s="470">
        <f>8*0.45</f>
        <v>3.6</v>
      </c>
      <c r="E29" s="458"/>
      <c r="F29" s="459">
        <f t="shared" si="1"/>
        <v>0</v>
      </c>
      <c r="G29" s="448"/>
    </row>
    <row r="30" spans="1:7" ht="19.95" customHeight="1">
      <c r="A30" s="455"/>
      <c r="B30" s="468" t="s">
        <v>492</v>
      </c>
      <c r="C30" s="469" t="s">
        <v>10</v>
      </c>
      <c r="D30" s="471">
        <f>8*0.2*0.15</f>
        <v>0.24</v>
      </c>
      <c r="E30" s="458"/>
      <c r="F30" s="459">
        <f t="shared" si="1"/>
        <v>0</v>
      </c>
      <c r="G30" s="448"/>
    </row>
    <row r="31" spans="1:7" ht="19.95" customHeight="1">
      <c r="A31" s="455"/>
      <c r="B31" s="468" t="s">
        <v>493</v>
      </c>
      <c r="C31" s="469" t="s">
        <v>4</v>
      </c>
      <c r="D31" s="470">
        <f>8*2</f>
        <v>16</v>
      </c>
      <c r="E31" s="458"/>
      <c r="F31" s="459">
        <f t="shared" si="1"/>
        <v>0</v>
      </c>
      <c r="G31" s="448"/>
    </row>
    <row r="32" spans="1:7" ht="19.95" customHeight="1">
      <c r="A32" s="455"/>
      <c r="B32" s="468" t="s">
        <v>494</v>
      </c>
      <c r="C32" s="469" t="s">
        <v>9</v>
      </c>
      <c r="D32" s="470">
        <v>1</v>
      </c>
      <c r="E32" s="458"/>
      <c r="F32" s="459">
        <f t="shared" si="1"/>
        <v>0</v>
      </c>
      <c r="G32" s="448"/>
    </row>
    <row r="33" spans="1:7" ht="19.95" customHeight="1">
      <c r="A33" s="455"/>
      <c r="B33" s="468" t="s">
        <v>495</v>
      </c>
      <c r="C33" s="469" t="s">
        <v>4</v>
      </c>
      <c r="D33" s="470">
        <f>8*2*2</f>
        <v>32</v>
      </c>
      <c r="E33" s="458"/>
      <c r="F33" s="459">
        <f t="shared" si="1"/>
        <v>0</v>
      </c>
      <c r="G33" s="448"/>
    </row>
    <row r="34" spans="1:7" ht="19.95" customHeight="1">
      <c r="A34" s="472">
        <v>9</v>
      </c>
      <c r="B34" s="473" t="s">
        <v>496</v>
      </c>
      <c r="C34" s="474"/>
      <c r="D34" s="474"/>
      <c r="E34" s="475"/>
      <c r="F34" s="476">
        <f>SUM(F4:F33)</f>
        <v>0</v>
      </c>
      <c r="G34" s="448"/>
    </row>
    <row r="35" spans="1:7" ht="19.95" customHeight="1" thickBot="1">
      <c r="A35" s="478"/>
      <c r="B35" s="477"/>
      <c r="C35" s="477"/>
      <c r="D35" s="479"/>
      <c r="E35" s="478"/>
      <c r="F35" s="478"/>
      <c r="G35" s="478"/>
    </row>
    <row r="36" spans="1:7" ht="19.95" customHeight="1" thickBot="1">
      <c r="A36" s="480"/>
      <c r="B36" s="481" t="s">
        <v>497</v>
      </c>
      <c r="C36" s="482"/>
      <c r="D36" s="483">
        <v>0.1</v>
      </c>
      <c r="E36" s="482"/>
      <c r="F36" s="484">
        <f>F34*D36</f>
        <v>0</v>
      </c>
      <c r="G36" s="478"/>
    </row>
    <row r="37" spans="1:7" ht="19.95" customHeight="1" thickBot="1">
      <c r="A37" s="485"/>
      <c r="B37" s="477"/>
      <c r="C37" s="477"/>
      <c r="D37" s="479"/>
      <c r="E37" s="478"/>
      <c r="F37" s="478"/>
      <c r="G37" s="478"/>
    </row>
    <row r="38" spans="1:7" ht="19.95" customHeight="1" thickBot="1">
      <c r="A38" s="480"/>
      <c r="B38" s="481" t="s">
        <v>498</v>
      </c>
      <c r="C38" s="486"/>
      <c r="D38" s="487"/>
      <c r="E38" s="482"/>
      <c r="F38" s="484">
        <f>(F34+F36)</f>
        <v>0</v>
      </c>
      <c r="G38" s="478"/>
    </row>
  </sheetData>
  <mergeCells count="2">
    <mergeCell ref="A1:F1"/>
    <mergeCell ref="B34:E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5"/>
  <sheetViews>
    <sheetView showGridLines="0" view="pageBreakPreview" topLeftCell="A6" zoomScale="90" zoomScaleSheetLayoutView="90" workbookViewId="0">
      <selection activeCell="J26" sqref="J26"/>
    </sheetView>
  </sheetViews>
  <sheetFormatPr baseColWidth="10" defaultColWidth="11.44140625" defaultRowHeight="15"/>
  <cols>
    <col min="1" max="1" width="8.5546875" style="377" customWidth="1"/>
    <col min="2" max="2" width="61.21875" style="232" bestFit="1" customWidth="1"/>
    <col min="3" max="3" width="8.5546875" style="2" customWidth="1"/>
    <col min="4" max="4" width="10.5546875" style="3" customWidth="1"/>
    <col min="5" max="5" width="11.21875" style="3" customWidth="1"/>
    <col min="6" max="6" width="12.77734375" style="3" customWidth="1"/>
    <col min="7" max="16384" width="11.44140625" style="2"/>
  </cols>
  <sheetData>
    <row r="2" spans="1:6">
      <c r="A2" s="391"/>
      <c r="B2" s="1"/>
    </row>
    <row r="3" spans="1:6">
      <c r="A3" s="391"/>
      <c r="B3" s="1"/>
    </row>
    <row r="4" spans="1:6" ht="24.6" customHeight="1">
      <c r="A4" s="391"/>
      <c r="B4" s="1"/>
    </row>
    <row r="5" spans="1:6" ht="40.950000000000003" customHeight="1" thickBot="1">
      <c r="A5" s="438" t="s">
        <v>423</v>
      </c>
      <c r="B5" s="439"/>
      <c r="C5" s="439"/>
      <c r="D5" s="439"/>
      <c r="E5" s="439"/>
      <c r="F5" s="440"/>
    </row>
    <row r="6" spans="1:6" s="270" customFormat="1" ht="42" thickTop="1">
      <c r="A6" s="390" t="s">
        <v>12</v>
      </c>
      <c r="B6" s="389" t="s">
        <v>8</v>
      </c>
      <c r="C6" s="388" t="s">
        <v>0</v>
      </c>
      <c r="D6" s="388" t="s">
        <v>2</v>
      </c>
      <c r="E6" s="388" t="s">
        <v>3</v>
      </c>
      <c r="F6" s="388" t="s">
        <v>1</v>
      </c>
    </row>
    <row r="7" spans="1:6">
      <c r="A7" s="283"/>
      <c r="B7" s="271"/>
      <c r="C7" s="272"/>
      <c r="D7" s="273"/>
      <c r="E7" s="273"/>
      <c r="F7" s="273"/>
    </row>
    <row r="8" spans="1:6" ht="18" customHeight="1">
      <c r="A8" s="387" t="s">
        <v>13</v>
      </c>
      <c r="B8" s="274" t="s">
        <v>422</v>
      </c>
      <c r="C8" s="275"/>
      <c r="D8" s="276"/>
      <c r="E8" s="276"/>
      <c r="F8" s="276"/>
    </row>
    <row r="9" spans="1:6" ht="31.2" customHeight="1">
      <c r="A9" s="384">
        <v>1</v>
      </c>
      <c r="B9" s="386" t="s">
        <v>425</v>
      </c>
      <c r="C9" s="282"/>
      <c r="D9" s="282"/>
      <c r="E9" s="278"/>
      <c r="F9" s="278"/>
    </row>
    <row r="10" spans="1:6" ht="18" customHeight="1">
      <c r="A10" s="384">
        <v>2</v>
      </c>
      <c r="B10" s="385" t="s">
        <v>426</v>
      </c>
      <c r="C10" s="282" t="s">
        <v>10</v>
      </c>
      <c r="D10" s="282">
        <f>20*15*0.2</f>
        <v>60</v>
      </c>
      <c r="E10" s="278"/>
      <c r="F10" s="278">
        <f>D10*E10</f>
        <v>0</v>
      </c>
    </row>
    <row r="11" spans="1:6" ht="18" customHeight="1">
      <c r="A11" s="384">
        <v>3</v>
      </c>
      <c r="B11" s="385" t="s">
        <v>421</v>
      </c>
      <c r="C11" s="282" t="s">
        <v>9</v>
      </c>
      <c r="D11" s="282">
        <v>120</v>
      </c>
      <c r="E11" s="278"/>
      <c r="F11" s="278">
        <f>D11*E11</f>
        <v>0</v>
      </c>
    </row>
    <row r="12" spans="1:6" ht="18" customHeight="1">
      <c r="A12" s="384">
        <v>4</v>
      </c>
      <c r="B12" s="383" t="s">
        <v>424</v>
      </c>
      <c r="C12" s="277" t="s">
        <v>179</v>
      </c>
      <c r="D12" s="277">
        <v>1</v>
      </c>
      <c r="E12" s="273"/>
      <c r="F12" s="278">
        <f>D12*E12</f>
        <v>0</v>
      </c>
    </row>
    <row r="13" spans="1:6" ht="18" customHeight="1">
      <c r="A13" s="384">
        <v>5</v>
      </c>
      <c r="B13" s="383" t="s">
        <v>420</v>
      </c>
      <c r="C13" s="277" t="s">
        <v>10</v>
      </c>
      <c r="D13" s="277">
        <f>20*15*0.4</f>
        <v>120</v>
      </c>
      <c r="E13" s="273"/>
      <c r="F13" s="278">
        <f>D13*E13</f>
        <v>0</v>
      </c>
    </row>
    <row r="14" spans="1:6" ht="11.55" customHeight="1">
      <c r="A14" s="382"/>
      <c r="B14" s="381"/>
      <c r="C14" s="380"/>
      <c r="D14" s="379"/>
      <c r="E14" s="379"/>
      <c r="F14" s="379"/>
    </row>
    <row r="15" spans="1:6" ht="17.399999999999999">
      <c r="A15" s="283"/>
      <c r="B15" s="378" t="s">
        <v>419</v>
      </c>
      <c r="C15" s="279"/>
      <c r="D15" s="280"/>
      <c r="E15" s="280"/>
      <c r="F15" s="281">
        <f>SUM(F9:F13)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21"/>
  <sheetViews>
    <sheetView tabSelected="1" view="pageBreakPreview" zoomScale="90" zoomScaleNormal="100" zoomScaleSheetLayoutView="90" workbookViewId="0">
      <selection activeCell="D16" sqref="D16"/>
    </sheetView>
  </sheetViews>
  <sheetFormatPr baseColWidth="10" defaultRowHeight="14.4"/>
  <cols>
    <col min="1" max="1" width="68.77734375" style="231" customWidth="1"/>
    <col min="2" max="2" width="23.77734375" customWidth="1"/>
  </cols>
  <sheetData>
    <row r="1" spans="1:2" ht="88.95" customHeight="1" thickBot="1">
      <c r="A1" s="441"/>
      <c r="B1" s="441"/>
    </row>
    <row r="2" spans="1:2" ht="4.95" hidden="1" customHeight="1" thickBot="1"/>
    <row r="3" spans="1:2" s="29" customFormat="1" ht="25.5" customHeight="1">
      <c r="A3" s="442" t="s">
        <v>430</v>
      </c>
      <c r="B3" s="443"/>
    </row>
    <row r="4" spans="1:2" s="29" customFormat="1" ht="12.75" customHeight="1">
      <c r="A4" s="254"/>
      <c r="B4" s="255"/>
    </row>
    <row r="5" spans="1:2" s="29" customFormat="1" ht="15">
      <c r="A5" s="106"/>
      <c r="B5" s="259"/>
    </row>
    <row r="6" spans="1:2" s="29" customFormat="1" ht="27.6" customHeight="1">
      <c r="A6" s="258" t="s">
        <v>278</v>
      </c>
      <c r="B6" s="261">
        <f>'DQE 3 cls + bureau '!F123</f>
        <v>0</v>
      </c>
    </row>
    <row r="7" spans="1:2" s="29" customFormat="1" ht="24" customHeight="1">
      <c r="A7" s="106"/>
      <c r="B7" s="260"/>
    </row>
    <row r="8" spans="1:2" s="29" customFormat="1" ht="27.6" customHeight="1">
      <c r="A8" s="258" t="s">
        <v>356</v>
      </c>
      <c r="B8" s="261">
        <f>'DQE 3 Cls'!F116</f>
        <v>0</v>
      </c>
    </row>
    <row r="9" spans="1:2" s="29" customFormat="1" ht="24" customHeight="1">
      <c r="A9" s="106"/>
      <c r="B9" s="260"/>
    </row>
    <row r="10" spans="1:2" s="29" customFormat="1" ht="27.6" customHeight="1">
      <c r="A10" s="107" t="s">
        <v>279</v>
      </c>
      <c r="B10" s="108">
        <f>'DQE cantine'!E134</f>
        <v>0</v>
      </c>
    </row>
    <row r="11" spans="1:2" s="29" customFormat="1" ht="18.600000000000001" customHeight="1">
      <c r="A11" s="110"/>
      <c r="B11" s="109"/>
    </row>
    <row r="12" spans="1:2" s="29" customFormat="1" ht="27.6" customHeight="1">
      <c r="A12" s="107" t="s">
        <v>428</v>
      </c>
      <c r="B12" s="108">
        <f>'Réha latrine 4 cabines'!F113</f>
        <v>0</v>
      </c>
    </row>
    <row r="13" spans="1:2" s="29" customFormat="1" ht="18.600000000000001" customHeight="1">
      <c r="A13" s="110"/>
      <c r="B13" s="109"/>
    </row>
    <row r="14" spans="1:2" s="29" customFormat="1" ht="27.6" customHeight="1">
      <c r="A14" s="107" t="s">
        <v>429</v>
      </c>
      <c r="B14" s="108">
        <f>'[1]DQE latrine 3 blocs 2 cabines '!F114</f>
        <v>0</v>
      </c>
    </row>
    <row r="15" spans="1:2" s="29" customFormat="1" ht="18.600000000000001" customHeight="1">
      <c r="A15" s="110"/>
      <c r="B15" s="109"/>
    </row>
    <row r="16" spans="1:2" s="29" customFormat="1" ht="27.6" customHeight="1">
      <c r="A16" s="107" t="s">
        <v>381</v>
      </c>
      <c r="B16" s="108">
        <f>'DQE forage energie solaire'!F38</f>
        <v>0</v>
      </c>
    </row>
    <row r="17" spans="1:2" s="29" customFormat="1" ht="18.600000000000001" customHeight="1">
      <c r="A17" s="110"/>
      <c r="B17" s="109"/>
    </row>
    <row r="18" spans="1:2" s="29" customFormat="1" ht="27.6" customHeight="1">
      <c r="A18" s="107" t="s">
        <v>427</v>
      </c>
      <c r="B18" s="108">
        <f>' aménagement aire de jeux'!F15</f>
        <v>0</v>
      </c>
    </row>
    <row r="19" spans="1:2" s="29" customFormat="1" ht="18.600000000000001" customHeight="1" thickBot="1">
      <c r="A19" s="110"/>
      <c r="B19" s="109"/>
    </row>
    <row r="20" spans="1:2" s="29" customFormat="1" ht="25.2" customHeight="1" thickBot="1">
      <c r="A20" s="256" t="s">
        <v>352</v>
      </c>
      <c r="B20" s="257">
        <f>+B6+B8+B10+B12+B18</f>
        <v>0</v>
      </c>
    </row>
    <row r="21" spans="1:2" s="29" customFormat="1" ht="15.6">
      <c r="A21" s="105"/>
      <c r="B21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DQE 3 cls + bureau </vt:lpstr>
      <vt:lpstr>DQE 3 Cls</vt:lpstr>
      <vt:lpstr>DQE cantine</vt:lpstr>
      <vt:lpstr>Réha latrine 4 cabines</vt:lpstr>
      <vt:lpstr>DQE forage energie solaire</vt:lpstr>
      <vt:lpstr> aménagement aire de jeux</vt:lpstr>
      <vt:lpstr>Recap</vt:lpstr>
      <vt:lpstr>' aménagement aire de jeux'!Zone_d_impression</vt:lpstr>
      <vt:lpstr>'DQE 3 cls + bureau '!Zone_d_impression</vt:lpstr>
      <vt:lpstr>'DQE cantine'!Zone_d_impression</vt:lpstr>
      <vt:lpstr>Recap!Zone_d_impression</vt:lpstr>
      <vt:lpstr>'Réha latrine 4 cabines'!Zone_d_impression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Lasme Jean Francois Michel ESSO</cp:lastModifiedBy>
  <cp:lastPrinted>2024-12-12T18:39:48Z</cp:lastPrinted>
  <dcterms:created xsi:type="dcterms:W3CDTF">2007-12-03T22:12:12Z</dcterms:created>
  <dcterms:modified xsi:type="dcterms:W3CDTF">2024-12-19T13:59:11Z</dcterms:modified>
</cp:coreProperties>
</file>